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aska\Documents\DP CWPC From Sept 23\CWPC Apr 24 - Mar 25\2024-25 Spreadsheets to email for meetings\"/>
    </mc:Choice>
  </mc:AlternateContent>
  <xr:revisionPtr revIDLastSave="0" documentId="13_ncr:1_{8FF6E928-1CEA-4C47-A117-88D83AE4BDA2}" xr6:coauthVersionLast="47" xr6:coauthVersionMax="47" xr10:uidLastSave="{00000000-0000-0000-0000-000000000000}"/>
  <bookViews>
    <workbookView xWindow="-108" yWindow="-108" windowWidth="23256" windowHeight="13896" tabRatio="857" activeTab="1" xr2:uid="{00000000-000D-0000-FFFF-FFFF00000000}"/>
  </bookViews>
  <sheets>
    <sheet name="Summary 24-25" sheetId="5" r:id="rId1"/>
    <sheet name="Monitoring" sheetId="1" r:id="rId2"/>
    <sheet name="VAT 21_23" sheetId="2" state="hidden" r:id="rId3"/>
  </sheets>
  <definedNames>
    <definedName name="_xlnm.Print_Area" localSheetId="1">Monitoring!$A$1:$P$91</definedName>
    <definedName name="_xlnm.Print_Area" localSheetId="0">'Summary 24-25'!$A$1:$D$88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5" l="1"/>
  <c r="N88" i="1"/>
  <c r="N10" i="1"/>
  <c r="N60" i="1" l="1"/>
  <c r="N39" i="1"/>
  <c r="N65" i="1"/>
  <c r="M73" i="1"/>
  <c r="N73" i="1"/>
  <c r="N46" i="1"/>
  <c r="N51" i="1"/>
  <c r="N17" i="1"/>
  <c r="M17" i="1"/>
  <c r="M63" i="1"/>
  <c r="M85" i="1"/>
  <c r="M84" i="1"/>
  <c r="M46" i="1"/>
  <c r="M38" i="1"/>
  <c r="M51" i="1"/>
  <c r="L87" i="1"/>
  <c r="L63" i="1"/>
  <c r="L17" i="1"/>
  <c r="L51" i="1"/>
  <c r="K10" i="1" l="1"/>
  <c r="K63" i="1"/>
  <c r="K51" i="1"/>
  <c r="K17" i="1"/>
  <c r="K70" i="1"/>
  <c r="I51" i="1"/>
  <c r="A41" i="1" l="1"/>
  <c r="A42" i="1"/>
  <c r="J70" i="1" l="1"/>
  <c r="J80" i="1" s="1"/>
  <c r="J51" i="1"/>
  <c r="J17" i="1"/>
  <c r="J12" i="1"/>
  <c r="I38" i="1"/>
  <c r="I17" i="1"/>
  <c r="O88" i="1"/>
  <c r="D76" i="1"/>
  <c r="C76" i="1"/>
  <c r="C73" i="1"/>
  <c r="D73" i="1"/>
  <c r="O17" i="1"/>
  <c r="E10" i="1"/>
  <c r="H10" i="1"/>
  <c r="H46" i="1"/>
  <c r="H17" i="1"/>
  <c r="H63" i="1"/>
  <c r="H51" i="1"/>
  <c r="O52" i="1"/>
  <c r="O72" i="1"/>
  <c r="O59" i="1"/>
  <c r="O58" i="1"/>
  <c r="O57" i="1"/>
  <c r="O56" i="1"/>
  <c r="O55" i="1"/>
  <c r="O54" i="1"/>
  <c r="O53" i="1"/>
  <c r="O50" i="1"/>
  <c r="O47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9" i="1"/>
  <c r="O11" i="1"/>
  <c r="O12" i="1"/>
  <c r="O13" i="1"/>
  <c r="O8" i="1"/>
  <c r="O71" i="1"/>
  <c r="I80" i="1"/>
  <c r="K80" i="1"/>
  <c r="L80" i="1"/>
  <c r="M80" i="1"/>
  <c r="N80" i="1"/>
  <c r="G63" i="1"/>
  <c r="G51" i="1"/>
  <c r="G17" i="1"/>
  <c r="F51" i="1"/>
  <c r="F17" i="1"/>
  <c r="E17" i="1"/>
  <c r="E63" i="1"/>
  <c r="C49" i="1"/>
  <c r="O49" i="1" s="1"/>
  <c r="O39" i="1" l="1"/>
  <c r="O10" i="1"/>
  <c r="O14" i="1" s="1"/>
  <c r="O77" i="1" s="1"/>
  <c r="D17" i="1"/>
  <c r="D51" i="1"/>
  <c r="D46" i="1"/>
  <c r="O46" i="1" s="1"/>
  <c r="D48" i="1"/>
  <c r="O48" i="1" s="1"/>
  <c r="C51" i="1"/>
  <c r="C17" i="1"/>
  <c r="O51" i="1" l="1"/>
  <c r="B88" i="1"/>
  <c r="B6" i="5" l="1"/>
  <c r="L65" i="1" l="1"/>
  <c r="L79" i="1" s="1"/>
  <c r="M65" i="1"/>
  <c r="M79" i="1" s="1"/>
  <c r="O69" i="1"/>
  <c r="M39" i="1"/>
  <c r="K88" i="1" l="1"/>
  <c r="C56" i="5" l="1"/>
  <c r="D56" i="5" s="1"/>
  <c r="G80" i="1" l="1"/>
  <c r="I39" i="1"/>
  <c r="C53" i="5" l="1"/>
  <c r="E73" i="1"/>
  <c r="F73" i="1"/>
  <c r="G73" i="1"/>
  <c r="H73" i="1"/>
  <c r="I73" i="1"/>
  <c r="J73" i="1"/>
  <c r="K73" i="1"/>
  <c r="L73" i="1"/>
  <c r="O63" i="1" l="1"/>
  <c r="C88" i="1"/>
  <c r="C61" i="5" l="1"/>
  <c r="B67" i="5"/>
  <c r="B66" i="5"/>
  <c r="B62" i="5"/>
  <c r="B61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15" i="5"/>
  <c r="B7" i="5"/>
  <c r="B8" i="5"/>
  <c r="B9" i="5"/>
  <c r="B10" i="5"/>
  <c r="B11" i="5"/>
  <c r="D70" i="5"/>
  <c r="D63" i="5"/>
  <c r="P21" i="1"/>
  <c r="P28" i="1"/>
  <c r="B12" i="5" l="1"/>
  <c r="B70" i="5"/>
  <c r="B63" i="5"/>
  <c r="C26" i="5"/>
  <c r="D26" i="5" s="1"/>
  <c r="C19" i="5"/>
  <c r="D19" i="5" s="1"/>
  <c r="B37" i="5"/>
  <c r="B43" i="5" s="1"/>
  <c r="B58" i="5" s="1"/>
  <c r="B85" i="5"/>
  <c r="C73" i="5" s="1"/>
  <c r="L39" i="1"/>
  <c r="L45" i="1" s="1"/>
  <c r="K65" i="1"/>
  <c r="K79" i="1" s="1"/>
  <c r="K14" i="1"/>
  <c r="K77" i="1" s="1"/>
  <c r="M45" i="1"/>
  <c r="M60" i="1" s="1"/>
  <c r="M78" i="1" s="1"/>
  <c r="N45" i="1"/>
  <c r="N78" i="1" s="1"/>
  <c r="B39" i="1"/>
  <c r="B45" i="1" s="1"/>
  <c r="B60" i="1" s="1"/>
  <c r="I14" i="1"/>
  <c r="I77" i="1" s="1"/>
  <c r="J65" i="1"/>
  <c r="J79" i="1" s="1"/>
  <c r="I65" i="1"/>
  <c r="I79" i="1" s="1"/>
  <c r="H65" i="1"/>
  <c r="H79" i="1" s="1"/>
  <c r="G65" i="1"/>
  <c r="G79" i="1" s="1"/>
  <c r="F65" i="1"/>
  <c r="F79" i="1" s="1"/>
  <c r="E65" i="1"/>
  <c r="E79" i="1" s="1"/>
  <c r="F88" i="1"/>
  <c r="D88" i="1"/>
  <c r="D65" i="1"/>
  <c r="D79" i="1" s="1"/>
  <c r="C65" i="1"/>
  <c r="C79" i="1" s="1"/>
  <c r="E14" i="1"/>
  <c r="E77" i="1" s="1"/>
  <c r="C7" i="5"/>
  <c r="O64" i="1"/>
  <c r="O70" i="1"/>
  <c r="O73" i="1" s="1"/>
  <c r="L88" i="1"/>
  <c r="N79" i="1"/>
  <c r="N14" i="1"/>
  <c r="N77" i="1" s="1"/>
  <c r="D52" i="2"/>
  <c r="D46" i="2"/>
  <c r="J88" i="1"/>
  <c r="M88" i="1"/>
  <c r="D42" i="2"/>
  <c r="D34" i="2"/>
  <c r="I88" i="1"/>
  <c r="H88" i="1"/>
  <c r="G88" i="1"/>
  <c r="D30" i="2"/>
  <c r="C51" i="5"/>
  <c r="D51" i="5" s="1"/>
  <c r="C24" i="2"/>
  <c r="D26" i="2" s="1"/>
  <c r="D22" i="2"/>
  <c r="D14" i="2"/>
  <c r="D7" i="2"/>
  <c r="B65" i="1"/>
  <c r="D80" i="1"/>
  <c r="E80" i="1"/>
  <c r="F80" i="1"/>
  <c r="H80" i="1"/>
  <c r="P65" i="1"/>
  <c r="B73" i="1"/>
  <c r="P73" i="1"/>
  <c r="F14" i="1"/>
  <c r="F77" i="1" s="1"/>
  <c r="J14" i="1"/>
  <c r="J77" i="1" s="1"/>
  <c r="L14" i="1"/>
  <c r="L77" i="1" s="1"/>
  <c r="M14" i="1"/>
  <c r="M77" i="1" s="1"/>
  <c r="D14" i="1"/>
  <c r="D77" i="1" s="1"/>
  <c r="B14" i="1"/>
  <c r="C67" i="5" l="1"/>
  <c r="O80" i="1"/>
  <c r="O65" i="1"/>
  <c r="O79" i="1" s="1"/>
  <c r="D7" i="5"/>
  <c r="C62" i="5"/>
  <c r="P59" i="1"/>
  <c r="C57" i="5"/>
  <c r="D57" i="5" s="1"/>
  <c r="P12" i="1"/>
  <c r="C10" i="5"/>
  <c r="D10" i="5" s="1"/>
  <c r="P56" i="1"/>
  <c r="C54" i="5"/>
  <c r="D54" i="5" s="1"/>
  <c r="P47" i="1"/>
  <c r="C45" i="5"/>
  <c r="D45" i="5" s="1"/>
  <c r="P49" i="1"/>
  <c r="C47" i="5"/>
  <c r="D47" i="5" s="1"/>
  <c r="P50" i="1"/>
  <c r="C48" i="5"/>
  <c r="D48" i="5" s="1"/>
  <c r="P52" i="1"/>
  <c r="C50" i="5"/>
  <c r="D50" i="5" s="1"/>
  <c r="P57" i="1"/>
  <c r="C55" i="5"/>
  <c r="D55" i="5" s="1"/>
  <c r="P22" i="1"/>
  <c r="C20" i="5"/>
  <c r="D20" i="5" s="1"/>
  <c r="P35" i="1"/>
  <c r="C33" i="5"/>
  <c r="D33" i="5" s="1"/>
  <c r="P26" i="1"/>
  <c r="C24" i="5"/>
  <c r="D24" i="5" s="1"/>
  <c r="P33" i="1"/>
  <c r="C31" i="5"/>
  <c r="D31" i="5" s="1"/>
  <c r="P32" i="1"/>
  <c r="C30" i="5"/>
  <c r="D30" i="5" s="1"/>
  <c r="P24" i="1"/>
  <c r="C22" i="5"/>
  <c r="D22" i="5" s="1"/>
  <c r="P36" i="1"/>
  <c r="C34" i="5"/>
  <c r="D34" i="5" s="1"/>
  <c r="P31" i="1"/>
  <c r="C29" i="5"/>
  <c r="D29" i="5" s="1"/>
  <c r="P37" i="1"/>
  <c r="C35" i="5"/>
  <c r="D35" i="5" s="1"/>
  <c r="P30" i="1"/>
  <c r="C28" i="5"/>
  <c r="D28" i="5" s="1"/>
  <c r="P54" i="1"/>
  <c r="C52" i="5"/>
  <c r="D52" i="5" s="1"/>
  <c r="P25" i="1"/>
  <c r="C23" i="5"/>
  <c r="D23" i="5" s="1"/>
  <c r="P34" i="1"/>
  <c r="C32" i="5"/>
  <c r="C66" i="5"/>
  <c r="K39" i="1"/>
  <c r="K45" i="1" s="1"/>
  <c r="K60" i="1" s="1"/>
  <c r="K78" i="1" s="1"/>
  <c r="D39" i="1"/>
  <c r="D45" i="1" s="1"/>
  <c r="D60" i="1" s="1"/>
  <c r="D78" i="1" s="1"/>
  <c r="J39" i="1"/>
  <c r="J45" i="1" s="1"/>
  <c r="J60" i="1" s="1"/>
  <c r="J78" i="1" s="1"/>
  <c r="L60" i="1"/>
  <c r="L78" i="1" s="1"/>
  <c r="G39" i="1"/>
  <c r="G45" i="1" s="1"/>
  <c r="G60" i="1" s="1"/>
  <c r="G78" i="1" s="1"/>
  <c r="C39" i="1"/>
  <c r="C45" i="1" s="1"/>
  <c r="C60" i="1" s="1"/>
  <c r="C78" i="1" s="1"/>
  <c r="E39" i="1"/>
  <c r="E45" i="1" s="1"/>
  <c r="E60" i="1" s="1"/>
  <c r="E78" i="1" s="1"/>
  <c r="F39" i="1"/>
  <c r="F45" i="1" s="1"/>
  <c r="F60" i="1" s="1"/>
  <c r="F78" i="1" s="1"/>
  <c r="I45" i="1"/>
  <c r="I60" i="1" s="1"/>
  <c r="I78" i="1" s="1"/>
  <c r="H39" i="1"/>
  <c r="H45" i="1" s="1"/>
  <c r="H60" i="1" s="1"/>
  <c r="H78" i="1" s="1"/>
  <c r="C80" i="1"/>
  <c r="E88" i="1"/>
  <c r="H14" i="1"/>
  <c r="H77" i="1" s="1"/>
  <c r="P9" i="1"/>
  <c r="C14" i="1"/>
  <c r="C77" i="1" s="1"/>
  <c r="G14" i="1"/>
  <c r="G77" i="1" s="1"/>
  <c r="P53" i="1"/>
  <c r="D54" i="2"/>
  <c r="C15" i="5"/>
  <c r="D15" i="5" s="1"/>
  <c r="C70" i="5" l="1"/>
  <c r="C77" i="5" s="1"/>
  <c r="P38" i="1"/>
  <c r="C36" i="5"/>
  <c r="D36" i="5" s="1"/>
  <c r="P11" i="1"/>
  <c r="C9" i="5"/>
  <c r="D9" i="5" s="1"/>
  <c r="P13" i="1"/>
  <c r="C11" i="5"/>
  <c r="D11" i="5" s="1"/>
  <c r="P10" i="1"/>
  <c r="C8" i="5"/>
  <c r="D8" i="5" s="1"/>
  <c r="P18" i="1"/>
  <c r="C16" i="5"/>
  <c r="D16" i="5" s="1"/>
  <c r="P29" i="1"/>
  <c r="C27" i="5"/>
  <c r="D27" i="5" s="1"/>
  <c r="P27" i="1"/>
  <c r="C25" i="5"/>
  <c r="D25" i="5" s="1"/>
  <c r="P23" i="1"/>
  <c r="C21" i="5"/>
  <c r="D21" i="5" s="1"/>
  <c r="P20" i="1"/>
  <c r="C18" i="5"/>
  <c r="D18" i="5" s="1"/>
  <c r="P48" i="1"/>
  <c r="C46" i="5"/>
  <c r="D46" i="5" s="1"/>
  <c r="P19" i="1"/>
  <c r="C17" i="5"/>
  <c r="D17" i="5" s="1"/>
  <c r="P46" i="1"/>
  <c r="C44" i="5"/>
  <c r="D44" i="5" s="1"/>
  <c r="C63" i="5"/>
  <c r="D32" i="5"/>
  <c r="P51" i="1"/>
  <c r="C49" i="5"/>
  <c r="P8" i="1"/>
  <c r="C6" i="5"/>
  <c r="P17" i="1"/>
  <c r="O45" i="1"/>
  <c r="C81" i="1"/>
  <c r="O60" i="1" l="1"/>
  <c r="O78" i="1" s="1"/>
  <c r="O81" i="1" s="1"/>
  <c r="C12" i="5"/>
  <c r="C74" i="5" s="1"/>
  <c r="C76" i="5"/>
  <c r="P14" i="1"/>
  <c r="P39" i="1"/>
  <c r="P45" i="1" s="1"/>
  <c r="P60" i="1" s="1"/>
  <c r="C37" i="5"/>
  <c r="C43" i="5" s="1"/>
  <c r="C58" i="5" s="1"/>
  <c r="C75" i="5" s="1"/>
  <c r="D37" i="5"/>
  <c r="D43" i="5" s="1"/>
  <c r="D49" i="5"/>
  <c r="D6" i="5"/>
  <c r="D12" i="5" s="1"/>
  <c r="D81" i="1"/>
  <c r="C90" i="1"/>
  <c r="D58" i="5" l="1"/>
  <c r="C78" i="5"/>
  <c r="C87" i="5" s="1"/>
  <c r="E76" i="1"/>
  <c r="E81" i="1" s="1"/>
  <c r="F76" i="1" s="1"/>
  <c r="F81" i="1" s="1"/>
  <c r="D90" i="1"/>
  <c r="E90" i="1" l="1"/>
  <c r="G76" i="1"/>
  <c r="G81" i="1" s="1"/>
  <c r="F90" i="1"/>
  <c r="G90" i="1" l="1"/>
  <c r="H76" i="1"/>
  <c r="H81" i="1" s="1"/>
  <c r="I76" i="1" s="1"/>
  <c r="I81" i="1" l="1"/>
  <c r="H90" i="1"/>
  <c r="J76" i="1" l="1"/>
  <c r="J81" i="1" s="1"/>
  <c r="I90" i="1"/>
  <c r="K76" i="1" l="1"/>
  <c r="K81" i="1" s="1"/>
  <c r="J89" i="1"/>
  <c r="L76" i="1" l="1"/>
  <c r="L81" i="1" s="1"/>
  <c r="K90" i="1"/>
  <c r="M76" i="1" l="1"/>
  <c r="M81" i="1" s="1"/>
  <c r="N76" i="1" s="1"/>
  <c r="L90" i="1"/>
  <c r="N81" i="1" l="1"/>
  <c r="P81" i="1" s="1"/>
  <c r="M90" i="1"/>
  <c r="N90" i="1" l="1"/>
  <c r="O90" i="1" l="1"/>
</calcChain>
</file>

<file path=xl/sharedStrings.xml><?xml version="1.0" encoding="utf-8"?>
<sst xmlns="http://schemas.openxmlformats.org/spreadsheetml/2006/main" count="233" uniqueCount="125">
  <si>
    <t>Precept</t>
  </si>
  <si>
    <t>Street Cleaning Grant</t>
  </si>
  <si>
    <t>Allotment Rents</t>
  </si>
  <si>
    <t>TOTAL INCOME</t>
  </si>
  <si>
    <t>INCOME</t>
  </si>
  <si>
    <t>EXPENDITURE</t>
  </si>
  <si>
    <t>Clerk's Employment Cost</t>
  </si>
  <si>
    <t>Clerk's Mileage Costs</t>
  </si>
  <si>
    <t>Clerk's Telephone</t>
  </si>
  <si>
    <t>Clerk's Broadband</t>
  </si>
  <si>
    <t>Stationery, Postage, Books etc</t>
  </si>
  <si>
    <t>Room Hire</t>
  </si>
  <si>
    <t>AGAR Fee</t>
  </si>
  <si>
    <t>Internal Audit</t>
  </si>
  <si>
    <t xml:space="preserve">Training </t>
  </si>
  <si>
    <t>Insurance</t>
  </si>
  <si>
    <t>Chairman's Allowance</t>
  </si>
  <si>
    <t>Public Lighting</t>
  </si>
  <si>
    <t>Churchyard Maintenance</t>
  </si>
  <si>
    <t>Subscriptions</t>
  </si>
  <si>
    <t>Recreation Ground - Maintenance</t>
  </si>
  <si>
    <t>Village Hall - Maintenance</t>
  </si>
  <si>
    <t>Street Cleaning Costs</t>
  </si>
  <si>
    <t>Dog &amp; Litter Bin Emptying</t>
  </si>
  <si>
    <t>General Repairs</t>
  </si>
  <si>
    <t>Trees &amp; Veg  Maintenance</t>
  </si>
  <si>
    <t>Recreation Ground Improvement</t>
  </si>
  <si>
    <t>Data Protection</t>
  </si>
  <si>
    <t>TOTAL EXPENDITURE</t>
  </si>
  <si>
    <t>COMMUNITY INFRASTRUCTURE LEVY</t>
  </si>
  <si>
    <t>CIL Receipts</t>
  </si>
  <si>
    <t>CIL Expenditure</t>
  </si>
  <si>
    <t>Transfers to CIL Reserve</t>
  </si>
  <si>
    <t>Transfers from CIL Reserve</t>
  </si>
  <si>
    <t>CLAYDON &amp; WHITTON PARISH COUNCIL</t>
  </si>
  <si>
    <t>April</t>
  </si>
  <si>
    <t>May</t>
  </si>
  <si>
    <t>June</t>
  </si>
  <si>
    <t>July</t>
  </si>
  <si>
    <t>August</t>
  </si>
  <si>
    <t>March</t>
  </si>
  <si>
    <t>Actual</t>
  </si>
  <si>
    <t>Variance</t>
  </si>
  <si>
    <t>to Budget</t>
  </si>
  <si>
    <t>Sept</t>
  </si>
  <si>
    <t>Oct</t>
  </si>
  <si>
    <t>Nov</t>
  </si>
  <si>
    <t>Dec</t>
  </si>
  <si>
    <t>Jan</t>
  </si>
  <si>
    <t>Feb</t>
  </si>
  <si>
    <t>VAT on Expenditure</t>
  </si>
  <si>
    <t>VAT received (recovered from HMRC)</t>
  </si>
  <si>
    <t xml:space="preserve">VAT </t>
  </si>
  <si>
    <t>Net VAT in month</t>
  </si>
  <si>
    <t>Income</t>
  </si>
  <si>
    <t>Expenditure</t>
  </si>
  <si>
    <t>CASHFLOW &amp; BANK RECONCILIATION</t>
  </si>
  <si>
    <t>CIL Receipts - Expenditure</t>
  </si>
  <si>
    <t>Opening bank balance</t>
  </si>
  <si>
    <t>Community Bank Account</t>
  </si>
  <si>
    <t>Closing bank statements</t>
  </si>
  <si>
    <t>Website</t>
  </si>
  <si>
    <t>Zoom Subscriptions</t>
  </si>
  <si>
    <t>VAT Expenditure</t>
  </si>
  <si>
    <t>April '21</t>
  </si>
  <si>
    <t>Vodafone</t>
  </si>
  <si>
    <t>SCC Street Lighting</t>
  </si>
  <si>
    <t>Normanton</t>
  </si>
  <si>
    <t>May '21</t>
  </si>
  <si>
    <t>Vertas</t>
  </si>
  <si>
    <t>Fenland leisure</t>
  </si>
  <si>
    <t>June '21</t>
  </si>
  <si>
    <t>Viking</t>
  </si>
  <si>
    <t>MSDC (Bins)</t>
  </si>
  <si>
    <t>SALC Training</t>
  </si>
  <si>
    <t>SALC</t>
  </si>
  <si>
    <t>Wicksteed</t>
  </si>
  <si>
    <t>agreed to Monitoring Report</t>
  </si>
  <si>
    <t>July '21</t>
  </si>
  <si>
    <t>August '21</t>
  </si>
  <si>
    <t>This &amp; That Lorry</t>
  </si>
  <si>
    <t>Other income</t>
  </si>
  <si>
    <t>Net VAT (outgoing)/received</t>
  </si>
  <si>
    <t>CIL Parish Reserve (BP A/C 1)</t>
  </si>
  <si>
    <t>September '21</t>
  </si>
  <si>
    <t>October '21</t>
  </si>
  <si>
    <t>PFK Littlejohn</t>
  </si>
  <si>
    <t>Community Action Suffolk</t>
  </si>
  <si>
    <t>Cumulative VAT to reclaim</t>
  </si>
  <si>
    <t>Mansion House Grant Distribution</t>
  </si>
  <si>
    <t>November '21</t>
  </si>
  <si>
    <t>December '21</t>
  </si>
  <si>
    <t>SALC (Training)</t>
  </si>
  <si>
    <t>Playsafe (RoSPA inspection)</t>
  </si>
  <si>
    <t>SALC Payroll Charges</t>
  </si>
  <si>
    <t>Purchase of dog &amp; litter bins</t>
  </si>
  <si>
    <t>Discretionary Community Projects</t>
  </si>
  <si>
    <t>Interest</t>
  </si>
  <si>
    <t>Interim Clerk</t>
  </si>
  <si>
    <t>Mansion House Grant</t>
  </si>
  <si>
    <t>DIFFERENCE</t>
  </si>
  <si>
    <t>Cllr E-Mail Provision</t>
  </si>
  <si>
    <t>Calculated Closing bank balance</t>
  </si>
  <si>
    <t>sub-total</t>
  </si>
  <si>
    <t>c/fwd from page 1</t>
  </si>
  <si>
    <t>Street Lighting upgrade</t>
  </si>
  <si>
    <t>External Audit</t>
  </si>
  <si>
    <t>Clerk's Laptop &amp; Mobile Phone</t>
  </si>
  <si>
    <t>Budget</t>
  </si>
  <si>
    <t>Actual YTD</t>
  </si>
  <si>
    <t>NB all</t>
  </si>
  <si>
    <t>calculate</t>
  </si>
  <si>
    <t xml:space="preserve"> to date 23/24</t>
  </si>
  <si>
    <t>Legal Fees</t>
  </si>
  <si>
    <t>Election Recharge-May 2023</t>
  </si>
  <si>
    <t>FINANCIAL MONITORING REPORT 2024/25</t>
  </si>
  <si>
    <t xml:space="preserve"> to date 24/25</t>
  </si>
  <si>
    <t>FINANCIAL SUMMARY REPORT 2024-25</t>
  </si>
  <si>
    <t>2024-25</t>
  </si>
  <si>
    <t>at 31 Mar 2024</t>
  </si>
  <si>
    <t>Budget 24-25</t>
  </si>
  <si>
    <t xml:space="preserve"> 24-25</t>
  </si>
  <si>
    <t xml:space="preserve">Parish Council Reserves BP A/c 2 from Apr 24 </t>
  </si>
  <si>
    <t xml:space="preserve">CCLA Deposit - from 18 Apr 2024 Car Park </t>
  </si>
  <si>
    <t>Donations /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</si>
</sst>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#,##0.00;\(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0" fillId="5" borderId="18" applyNumberFormat="0" applyAlignment="0" applyProtection="0"/>
    <xf numFmtId="0" fontId="21" fillId="6" borderId="19" applyNumberFormat="0" applyAlignment="0" applyProtection="0"/>
    <xf numFmtId="0" fontId="22" fillId="6" borderId="18" applyNumberFormat="0" applyAlignment="0" applyProtection="0"/>
    <xf numFmtId="0" fontId="23" fillId="0" borderId="20" applyNumberFormat="0" applyFill="0" applyAlignment="0" applyProtection="0"/>
    <xf numFmtId="0" fontId="24" fillId="7" borderId="21" applyNumberFormat="0" applyAlignment="0" applyProtection="0"/>
    <xf numFmtId="0" fontId="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5" fontId="0" fillId="0" borderId="3" xfId="0" applyNumberForma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43" fontId="0" fillId="0" borderId="0" xfId="1" applyFont="1"/>
    <xf numFmtId="43" fontId="6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4" xfId="1" applyFont="1" applyBorder="1"/>
    <xf numFmtId="43" fontId="0" fillId="0" borderId="5" xfId="1" applyFont="1" applyBorder="1"/>
    <xf numFmtId="43" fontId="1" fillId="0" borderId="2" xfId="1" applyFont="1" applyFill="1" applyBorder="1"/>
    <xf numFmtId="43" fontId="1" fillId="0" borderId="2" xfId="1" applyFont="1" applyBorder="1"/>
    <xf numFmtId="0" fontId="7" fillId="0" borderId="0" xfId="0" applyFont="1"/>
    <xf numFmtId="43" fontId="2" fillId="0" borderId="6" xfId="1" applyFont="1" applyBorder="1"/>
    <xf numFmtId="43" fontId="2" fillId="0" borderId="0" xfId="1" applyFont="1"/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8" fillId="0" borderId="0" xfId="0" applyFont="1"/>
    <xf numFmtId="0" fontId="0" fillId="0" borderId="6" xfId="0" applyBorder="1"/>
    <xf numFmtId="43" fontId="9" fillId="0" borderId="0" xfId="1" applyFont="1"/>
    <xf numFmtId="0" fontId="10" fillId="0" borderId="0" xfId="0" applyFont="1"/>
    <xf numFmtId="43" fontId="1" fillId="0" borderId="0" xfId="1" applyFont="1"/>
    <xf numFmtId="0" fontId="11" fillId="0" borderId="0" xfId="0" applyFont="1"/>
    <xf numFmtId="43" fontId="11" fillId="0" borderId="0" xfId="0" applyNumberFormat="1" applyFont="1"/>
    <xf numFmtId="164" fontId="2" fillId="0" borderId="0" xfId="1" applyNumberFormat="1" applyFont="1"/>
    <xf numFmtId="164" fontId="2" fillId="0" borderId="4" xfId="1" applyNumberFormat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0" xfId="1" applyFont="1" applyBorder="1"/>
    <xf numFmtId="43" fontId="0" fillId="0" borderId="6" xfId="0" applyNumberFormat="1" applyBorder="1"/>
    <xf numFmtId="0" fontId="0" fillId="0" borderId="0" xfId="0" applyAlignment="1">
      <alignment horizontal="right"/>
    </xf>
    <xf numFmtId="43" fontId="0" fillId="0" borderId="0" xfId="1" applyFont="1" applyFill="1"/>
    <xf numFmtId="0" fontId="12" fillId="0" borderId="0" xfId="0" applyFont="1"/>
    <xf numFmtId="164" fontId="0" fillId="0" borderId="3" xfId="1" applyNumberFormat="1" applyFont="1" applyBorder="1"/>
    <xf numFmtId="43" fontId="9" fillId="0" borderId="2" xfId="1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9" fillId="0" borderId="0" xfId="1" applyFont="1" applyBorder="1"/>
    <xf numFmtId="165" fontId="9" fillId="0" borderId="3" xfId="1" applyNumberFormat="1" applyFont="1" applyBorder="1"/>
    <xf numFmtId="165" fontId="0" fillId="0" borderId="10" xfId="1" applyNumberFormat="1" applyFont="1" applyBorder="1"/>
    <xf numFmtId="164" fontId="0" fillId="0" borderId="0" xfId="1" applyNumberFormat="1" applyFont="1" applyBorder="1"/>
    <xf numFmtId="0" fontId="0" fillId="0" borderId="3" xfId="0" applyBorder="1" applyAlignment="1">
      <alignment horizontal="center"/>
    </xf>
    <xf numFmtId="43" fontId="9" fillId="0" borderId="0" xfId="0" applyNumberFormat="1" applyFont="1"/>
    <xf numFmtId="164" fontId="2" fillId="0" borderId="7" xfId="1" applyNumberFormat="1" applyFont="1" applyBorder="1"/>
    <xf numFmtId="43" fontId="0" fillId="0" borderId="11" xfId="1" applyFont="1" applyBorder="1"/>
    <xf numFmtId="165" fontId="0" fillId="0" borderId="12" xfId="1" applyNumberFormat="1" applyFont="1" applyBorder="1"/>
    <xf numFmtId="165" fontId="9" fillId="0" borderId="1" xfId="1" applyNumberFormat="1" applyFont="1" applyBorder="1"/>
    <xf numFmtId="17" fontId="0" fillId="0" borderId="0" xfId="0" applyNumberFormat="1" applyAlignment="1">
      <alignment horizontal="center"/>
    </xf>
    <xf numFmtId="43" fontId="0" fillId="0" borderId="13" xfId="1" applyFont="1" applyBorder="1"/>
    <xf numFmtId="164" fontId="0" fillId="0" borderId="13" xfId="1" applyNumberFormat="1" applyFont="1" applyBorder="1"/>
    <xf numFmtId="43" fontId="0" fillId="0" borderId="9" xfId="1" applyFont="1" applyBorder="1"/>
    <xf numFmtId="43" fontId="0" fillId="0" borderId="14" xfId="1" applyFont="1" applyBorder="1"/>
    <xf numFmtId="164" fontId="2" fillId="0" borderId="3" xfId="1" applyNumberFormat="1" applyFont="1" applyBorder="1"/>
    <xf numFmtId="164" fontId="2" fillId="0" borderId="10" xfId="1" applyNumberFormat="1" applyFont="1" applyBorder="1"/>
    <xf numFmtId="43" fontId="0" fillId="0" borderId="3" xfId="1" applyFont="1" applyBorder="1"/>
    <xf numFmtId="43" fontId="0" fillId="0" borderId="3" xfId="0" applyNumberFormat="1" applyBorder="1"/>
    <xf numFmtId="166" fontId="0" fillId="0" borderId="3" xfId="0" applyNumberFormat="1" applyBorder="1"/>
    <xf numFmtId="166" fontId="0" fillId="0" borderId="3" xfId="1" applyNumberFormat="1" applyFont="1" applyBorder="1"/>
    <xf numFmtId="43" fontId="2" fillId="0" borderId="10" xfId="1" applyFont="1" applyBorder="1"/>
    <xf numFmtId="43" fontId="0" fillId="0" borderId="10" xfId="0" applyNumberFormat="1" applyBorder="1"/>
    <xf numFmtId="164" fontId="1" fillId="0" borderId="0" xfId="1" applyNumberFormat="1" applyFont="1"/>
    <xf numFmtId="15" fontId="0" fillId="0" borderId="0" xfId="0" applyNumberFormat="1"/>
    <xf numFmtId="15" fontId="0" fillId="0" borderId="0" xfId="0" quotePrefix="1" applyNumberFormat="1" applyAlignment="1">
      <alignment horizontal="center"/>
    </xf>
    <xf numFmtId="164" fontId="2" fillId="0" borderId="12" xfId="1" applyNumberFormat="1" applyFont="1" applyBorder="1"/>
    <xf numFmtId="164" fontId="0" fillId="0" borderId="10" xfId="1" applyNumberFormat="1" applyFont="1" applyBorder="1"/>
    <xf numFmtId="164" fontId="2" fillId="0" borderId="13" xfId="1" applyNumberFormat="1" applyFont="1" applyBorder="1"/>
    <xf numFmtId="164" fontId="2" fillId="0" borderId="2" xfId="1" applyNumberFormat="1" applyFont="1" applyBorder="1"/>
    <xf numFmtId="165" fontId="0" fillId="0" borderId="0" xfId="1" applyNumberFormat="1" applyFont="1" applyBorder="1"/>
    <xf numFmtId="43" fontId="2" fillId="0" borderId="0" xfId="1" applyFont="1" applyBorder="1" applyAlignment="1">
      <alignment vertical="top"/>
    </xf>
    <xf numFmtId="43" fontId="1" fillId="0" borderId="3" xfId="1" applyFont="1" applyBorder="1"/>
  </cellXfs>
  <cellStyles count="51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5" xr:uid="{6CF89E26-7F10-4354-AA15-1385C3B5A2B5}"/>
    <cellStyle name="60% - Accent1 3" xfId="38" xr:uid="{6F6E7133-2072-4545-A178-68EE1D8151DE}"/>
    <cellStyle name="60% - Accent2 2" xfId="46" xr:uid="{4F543068-38F2-46D2-BC14-311B04D9ECEA}"/>
    <cellStyle name="60% - Accent2 3" xfId="39" xr:uid="{24B552C7-23C7-4511-95A5-FE0F94C9726E}"/>
    <cellStyle name="60% - Accent3 2" xfId="47" xr:uid="{8FFCFA58-568F-4792-9148-99A5F572351A}"/>
    <cellStyle name="60% - Accent3 3" xfId="40" xr:uid="{EB1C83F4-B9A1-4138-B77D-A71E9A0E61AB}"/>
    <cellStyle name="60% - Accent4 2" xfId="48" xr:uid="{7A0E99C3-2D68-43E6-9105-230B7A992363}"/>
    <cellStyle name="60% - Accent4 3" xfId="41" xr:uid="{2A0A5BA5-2B09-4214-B8CE-DD83AF09B7E1}"/>
    <cellStyle name="60% - Accent5 2" xfId="49" xr:uid="{8E2F7777-5CD2-49FC-BD1D-7BC0A2D04990}"/>
    <cellStyle name="60% - Accent5 3" xfId="42" xr:uid="{E44E47C4-FD04-4CF1-82E2-4460158F90FE}"/>
    <cellStyle name="60% - Accent6 2" xfId="50" xr:uid="{8F2C6310-479E-4839-9EB6-C1974A747C1A}"/>
    <cellStyle name="60% - Accent6 3" xfId="43" xr:uid="{06BD1C62-DC72-4892-9E5B-87F0FC946E4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2" xfId="36" xr:uid="{15C05B86-16AE-4FC9-9E5C-A63E10E4713F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4" xr:uid="{A550296F-C9D8-432B-A2D5-EB3086BBCF06}"/>
    <cellStyle name="Neutral 3" xfId="37" xr:uid="{C1FD0587-83B7-4BA7-A39F-C4DCD2446AF0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view="pageBreakPreview" topLeftCell="A46" zoomScale="60" zoomScaleNormal="100" workbookViewId="0">
      <selection activeCell="I84" sqref="I84"/>
    </sheetView>
  </sheetViews>
  <sheetFormatPr defaultRowHeight="14.4" x14ac:dyDescent="0.3"/>
  <cols>
    <col min="1" max="1" width="37.44140625" customWidth="1"/>
    <col min="2" max="2" width="14.44140625" customWidth="1"/>
    <col min="3" max="3" width="16.5546875" bestFit="1" customWidth="1"/>
    <col min="4" max="4" width="12.109375" customWidth="1"/>
    <col min="5" max="5" width="11.33203125" bestFit="1" customWidth="1"/>
    <col min="6" max="6" width="10.109375" bestFit="1" customWidth="1"/>
  </cols>
  <sheetData>
    <row r="1" spans="1:7" ht="23.4" x14ac:dyDescent="0.45">
      <c r="A1" s="46" t="s">
        <v>34</v>
      </c>
    </row>
    <row r="2" spans="1:7" ht="23.4" x14ac:dyDescent="0.45">
      <c r="A2" s="46" t="s">
        <v>117</v>
      </c>
      <c r="G2" s="46"/>
    </row>
    <row r="3" spans="1:7" x14ac:dyDescent="0.3">
      <c r="B3" s="55" t="s">
        <v>108</v>
      </c>
      <c r="C3" s="55" t="s">
        <v>109</v>
      </c>
      <c r="D3" s="55" t="s">
        <v>42</v>
      </c>
      <c r="E3" s="50" t="s">
        <v>110</v>
      </c>
    </row>
    <row r="4" spans="1:7" x14ac:dyDescent="0.3">
      <c r="B4" s="55" t="s">
        <v>118</v>
      </c>
      <c r="C4" s="55" t="s">
        <v>118</v>
      </c>
      <c r="D4" s="55" t="s">
        <v>43</v>
      </c>
      <c r="E4" s="50" t="s">
        <v>111</v>
      </c>
    </row>
    <row r="5" spans="1:7" x14ac:dyDescent="0.3">
      <c r="A5" s="8" t="s">
        <v>4</v>
      </c>
      <c r="B5" s="47"/>
      <c r="C5" s="47"/>
      <c r="D5" s="15"/>
    </row>
    <row r="6" spans="1:7" x14ac:dyDescent="0.3">
      <c r="A6" t="s">
        <v>0</v>
      </c>
      <c r="B6" s="66">
        <f>Monitoring!B8</f>
        <v>39436</v>
      </c>
      <c r="C6" s="47">
        <f>Monitoring!O8</f>
        <v>39436</v>
      </c>
      <c r="D6" s="15">
        <f t="shared" ref="D6:D11" si="0">B6-C6</f>
        <v>0</v>
      </c>
    </row>
    <row r="7" spans="1:7" x14ac:dyDescent="0.3">
      <c r="A7" t="s">
        <v>1</v>
      </c>
      <c r="B7" s="66">
        <f>Monitoring!B9</f>
        <v>5845</v>
      </c>
      <c r="C7" s="47">
        <f>Monitoring!O9</f>
        <v>7303.4</v>
      </c>
      <c r="D7" s="15">
        <f t="shared" si="0"/>
        <v>-1458.3999999999996</v>
      </c>
    </row>
    <row r="8" spans="1:7" x14ac:dyDescent="0.3">
      <c r="A8" t="s">
        <v>97</v>
      </c>
      <c r="B8" s="66">
        <f>Monitoring!B10</f>
        <v>1200</v>
      </c>
      <c r="C8" s="47">
        <f>Monitoring!O10</f>
        <v>6283.99</v>
      </c>
      <c r="D8" s="15">
        <f t="shared" si="0"/>
        <v>-5083.99</v>
      </c>
    </row>
    <row r="9" spans="1:7" x14ac:dyDescent="0.3">
      <c r="A9" t="s">
        <v>81</v>
      </c>
      <c r="B9" s="66">
        <f>Monitoring!B11</f>
        <v>0</v>
      </c>
      <c r="C9" s="47">
        <f>Monitoring!O11</f>
        <v>0</v>
      </c>
      <c r="D9" s="15">
        <f t="shared" si="0"/>
        <v>0</v>
      </c>
    </row>
    <row r="10" spans="1:7" x14ac:dyDescent="0.3">
      <c r="A10" t="s">
        <v>99</v>
      </c>
      <c r="B10" s="66">
        <f>Monitoring!B12</f>
        <v>0</v>
      </c>
      <c r="C10" s="47">
        <f>Monitoring!O12</f>
        <v>910</v>
      </c>
      <c r="D10" s="15">
        <f t="shared" si="0"/>
        <v>-910</v>
      </c>
    </row>
    <row r="11" spans="1:7" x14ac:dyDescent="0.3">
      <c r="A11" t="s">
        <v>2</v>
      </c>
      <c r="B11" s="66">
        <f>Monitoring!B13</f>
        <v>0</v>
      </c>
      <c r="C11" s="47">
        <f>Monitoring!O13</f>
        <v>0</v>
      </c>
      <c r="D11" s="15">
        <f t="shared" si="0"/>
        <v>0</v>
      </c>
    </row>
    <row r="12" spans="1:7" x14ac:dyDescent="0.3">
      <c r="A12" s="9" t="s">
        <v>3</v>
      </c>
      <c r="B12" s="39">
        <f>SUM(B5:B11)</f>
        <v>46481</v>
      </c>
      <c r="C12" s="13">
        <f>SUM(C5:C11)</f>
        <v>53933.39</v>
      </c>
      <c r="D12" s="16">
        <f>SUM(D5:D11)</f>
        <v>-7452.3899999999994</v>
      </c>
    </row>
    <row r="13" spans="1:7" x14ac:dyDescent="0.3">
      <c r="B13" s="47"/>
      <c r="C13" s="47"/>
      <c r="D13" s="15"/>
    </row>
    <row r="14" spans="1:7" x14ac:dyDescent="0.3">
      <c r="A14" s="8" t="s">
        <v>5</v>
      </c>
      <c r="B14" s="47"/>
      <c r="C14" s="47"/>
      <c r="D14" s="15"/>
    </row>
    <row r="15" spans="1:7" x14ac:dyDescent="0.3">
      <c r="A15" t="s">
        <v>6</v>
      </c>
      <c r="B15" s="66">
        <f>Monitoring!B17</f>
        <v>12750</v>
      </c>
      <c r="C15" s="47">
        <f>Monitoring!O17</f>
        <v>13072.949999999995</v>
      </c>
      <c r="D15" s="15">
        <f t="shared" ref="D15:D36" si="1">B15-C15</f>
        <v>-322.94999999999527</v>
      </c>
    </row>
    <row r="16" spans="1:7" x14ac:dyDescent="0.3">
      <c r="A16" t="s">
        <v>7</v>
      </c>
      <c r="B16" s="66">
        <f>Monitoring!B18</f>
        <v>0</v>
      </c>
      <c r="C16" s="47">
        <f>Monitoring!O18</f>
        <v>0</v>
      </c>
      <c r="D16" s="15">
        <f t="shared" si="1"/>
        <v>0</v>
      </c>
    </row>
    <row r="17" spans="1:6" x14ac:dyDescent="0.3">
      <c r="A17" t="s">
        <v>8</v>
      </c>
      <c r="B17" s="66">
        <f>Monitoring!B19</f>
        <v>300</v>
      </c>
      <c r="C17" s="47">
        <f>Monitoring!O19</f>
        <v>0</v>
      </c>
      <c r="D17" s="15">
        <f t="shared" si="1"/>
        <v>300</v>
      </c>
      <c r="F17" s="31"/>
    </row>
    <row r="18" spans="1:6" x14ac:dyDescent="0.3">
      <c r="A18" t="s">
        <v>9</v>
      </c>
      <c r="B18" s="66">
        <f>Monitoring!B20</f>
        <v>0</v>
      </c>
      <c r="C18" s="47">
        <f>Monitoring!O20</f>
        <v>0</v>
      </c>
      <c r="D18" s="15">
        <f t="shared" si="1"/>
        <v>0</v>
      </c>
    </row>
    <row r="19" spans="1:6" x14ac:dyDescent="0.3">
      <c r="A19" t="s">
        <v>107</v>
      </c>
      <c r="B19" s="66">
        <f>Monitoring!B21</f>
        <v>0</v>
      </c>
      <c r="C19" s="47">
        <f>Monitoring!O21</f>
        <v>208.96</v>
      </c>
      <c r="D19" s="15">
        <f t="shared" si="1"/>
        <v>-208.96</v>
      </c>
    </row>
    <row r="20" spans="1:6" x14ac:dyDescent="0.3">
      <c r="A20" t="s">
        <v>98</v>
      </c>
      <c r="B20" s="66">
        <f>Monitoring!B22</f>
        <v>0</v>
      </c>
      <c r="C20" s="47">
        <f>Monitoring!O22</f>
        <v>0</v>
      </c>
      <c r="D20" s="15">
        <f t="shared" si="1"/>
        <v>0</v>
      </c>
    </row>
    <row r="21" spans="1:6" x14ac:dyDescent="0.3">
      <c r="A21" t="s">
        <v>10</v>
      </c>
      <c r="B21" s="66">
        <f>Monitoring!B23</f>
        <v>200</v>
      </c>
      <c r="C21" s="47">
        <f>Monitoring!O23</f>
        <v>91.96</v>
      </c>
      <c r="D21" s="15">
        <f t="shared" si="1"/>
        <v>108.04</v>
      </c>
    </row>
    <row r="22" spans="1:6" x14ac:dyDescent="0.3">
      <c r="A22" t="s">
        <v>94</v>
      </c>
      <c r="B22" s="66">
        <f>Monitoring!B24</f>
        <v>125</v>
      </c>
      <c r="C22" s="47">
        <f>Monitoring!O24</f>
        <v>72</v>
      </c>
      <c r="D22" s="15">
        <f t="shared" si="1"/>
        <v>53</v>
      </c>
    </row>
    <row r="23" spans="1:6" x14ac:dyDescent="0.3">
      <c r="A23" t="s">
        <v>11</v>
      </c>
      <c r="B23" s="66">
        <f>Monitoring!B25</f>
        <v>300</v>
      </c>
      <c r="C23" s="47">
        <f>Monitoring!O25</f>
        <v>230</v>
      </c>
      <c r="D23" s="15">
        <f t="shared" si="1"/>
        <v>70</v>
      </c>
    </row>
    <row r="24" spans="1:6" x14ac:dyDescent="0.3">
      <c r="A24" t="s">
        <v>12</v>
      </c>
      <c r="B24" s="66">
        <f>Monitoring!B26</f>
        <v>450</v>
      </c>
      <c r="C24" s="47">
        <f>Monitoring!O26</f>
        <v>420</v>
      </c>
      <c r="D24" s="15">
        <f t="shared" si="1"/>
        <v>30</v>
      </c>
    </row>
    <row r="25" spans="1:6" x14ac:dyDescent="0.3">
      <c r="A25" t="s">
        <v>13</v>
      </c>
      <c r="B25" s="66">
        <f>Monitoring!B27</f>
        <v>400</v>
      </c>
      <c r="C25" s="47">
        <f>Monitoring!O27</f>
        <v>395</v>
      </c>
      <c r="D25" s="15">
        <f t="shared" si="1"/>
        <v>5</v>
      </c>
    </row>
    <row r="26" spans="1:6" x14ac:dyDescent="0.3">
      <c r="A26" t="s">
        <v>106</v>
      </c>
      <c r="B26" s="66">
        <f>Monitoring!B28</f>
        <v>0</v>
      </c>
      <c r="C26" s="47">
        <f>Monitoring!O28</f>
        <v>0</v>
      </c>
      <c r="D26" s="15">
        <f t="shared" si="1"/>
        <v>0</v>
      </c>
    </row>
    <row r="27" spans="1:6" x14ac:dyDescent="0.3">
      <c r="A27" t="s">
        <v>14</v>
      </c>
      <c r="B27" s="66">
        <f>Monitoring!B29</f>
        <v>600</v>
      </c>
      <c r="C27" s="47">
        <f>Monitoring!O29</f>
        <v>0</v>
      </c>
      <c r="D27" s="15">
        <f t="shared" si="1"/>
        <v>600</v>
      </c>
      <c r="F27" s="31"/>
    </row>
    <row r="28" spans="1:6" x14ac:dyDescent="0.3">
      <c r="A28" t="s">
        <v>15</v>
      </c>
      <c r="B28" s="66">
        <f>Monitoring!B30</f>
        <v>1425</v>
      </c>
      <c r="C28" s="47">
        <f>Monitoring!O30</f>
        <v>1632.29</v>
      </c>
      <c r="D28" s="15">
        <f t="shared" si="1"/>
        <v>-207.28999999999996</v>
      </c>
    </row>
    <row r="29" spans="1:6" x14ac:dyDescent="0.3">
      <c r="A29" t="s">
        <v>61</v>
      </c>
      <c r="B29" s="66">
        <f>Monitoring!B31</f>
        <v>100</v>
      </c>
      <c r="C29" s="47">
        <f>Monitoring!O31</f>
        <v>98</v>
      </c>
      <c r="D29" s="15">
        <f t="shared" si="1"/>
        <v>2</v>
      </c>
    </row>
    <row r="30" spans="1:6" x14ac:dyDescent="0.3">
      <c r="A30" t="s">
        <v>62</v>
      </c>
      <c r="B30" s="66">
        <f>Monitoring!B32</f>
        <v>0</v>
      </c>
      <c r="C30" s="47">
        <f>Monitoring!O32</f>
        <v>0</v>
      </c>
      <c r="D30" s="15">
        <f t="shared" si="1"/>
        <v>0</v>
      </c>
    </row>
    <row r="31" spans="1:6" x14ac:dyDescent="0.3">
      <c r="A31" t="s">
        <v>16</v>
      </c>
      <c r="B31" s="66">
        <f>Monitoring!B33</f>
        <v>330</v>
      </c>
      <c r="C31" s="47">
        <f>Monitoring!O33</f>
        <v>0</v>
      </c>
      <c r="D31" s="15">
        <f t="shared" si="1"/>
        <v>330</v>
      </c>
    </row>
    <row r="32" spans="1:6" x14ac:dyDescent="0.3">
      <c r="A32" t="s">
        <v>17</v>
      </c>
      <c r="B32" s="66">
        <f>Monitoring!B34</f>
        <v>1750</v>
      </c>
      <c r="C32" s="47">
        <f>Monitoring!O34</f>
        <v>1040.06</v>
      </c>
      <c r="D32" s="15">
        <f t="shared" si="1"/>
        <v>709.94</v>
      </c>
    </row>
    <row r="33" spans="1:7" x14ac:dyDescent="0.3">
      <c r="A33" t="s">
        <v>105</v>
      </c>
      <c r="B33" s="66">
        <f>Monitoring!B35</f>
        <v>0</v>
      </c>
      <c r="C33" s="47">
        <f>Monitoring!O35</f>
        <v>0</v>
      </c>
      <c r="D33" s="15">
        <f t="shared" si="1"/>
        <v>0</v>
      </c>
    </row>
    <row r="34" spans="1:7" x14ac:dyDescent="0.3">
      <c r="A34" t="s">
        <v>18</v>
      </c>
      <c r="B34" s="66">
        <f>Monitoring!B36</f>
        <v>500</v>
      </c>
      <c r="C34" s="47">
        <f>Monitoring!O36</f>
        <v>990</v>
      </c>
      <c r="D34" s="15">
        <f t="shared" si="1"/>
        <v>-490</v>
      </c>
    </row>
    <row r="35" spans="1:7" x14ac:dyDescent="0.3">
      <c r="A35" t="s">
        <v>19</v>
      </c>
      <c r="B35" s="66">
        <f>Monitoring!B37</f>
        <v>780</v>
      </c>
      <c r="C35" s="47">
        <f>Monitoring!O37</f>
        <v>714.23</v>
      </c>
      <c r="D35" s="15">
        <f t="shared" si="1"/>
        <v>65.769999999999982</v>
      </c>
    </row>
    <row r="36" spans="1:7" x14ac:dyDescent="0.3">
      <c r="A36" t="s">
        <v>124</v>
      </c>
      <c r="B36" s="66">
        <f>Monitoring!B38</f>
        <v>2100</v>
      </c>
      <c r="C36" s="47">
        <f>Monitoring!O38</f>
        <v>1700</v>
      </c>
      <c r="D36" s="15">
        <f t="shared" si="1"/>
        <v>400</v>
      </c>
    </row>
    <row r="37" spans="1:7" x14ac:dyDescent="0.3">
      <c r="A37" s="44" t="s">
        <v>103</v>
      </c>
      <c r="B37" s="67">
        <f>SUM(B15:B36)</f>
        <v>22110</v>
      </c>
      <c r="C37" s="78">
        <f>SUM(C15:C36)</f>
        <v>20665.449999999993</v>
      </c>
      <c r="D37" s="53">
        <f>SUM(D15:D36)</f>
        <v>1444.5500000000047</v>
      </c>
    </row>
    <row r="38" spans="1:7" x14ac:dyDescent="0.3">
      <c r="B38" s="66"/>
      <c r="C38" s="47"/>
      <c r="D38" s="15"/>
    </row>
    <row r="39" spans="1:7" ht="21" x14ac:dyDescent="0.4">
      <c r="A39" s="7" t="s">
        <v>34</v>
      </c>
      <c r="B39" s="80"/>
      <c r="C39" s="54"/>
      <c r="D39" s="81"/>
    </row>
    <row r="40" spans="1:7" ht="23.4" x14ac:dyDescent="0.45">
      <c r="A40" s="46" t="s">
        <v>117</v>
      </c>
      <c r="G40" s="46"/>
    </row>
    <row r="41" spans="1:7" x14ac:dyDescent="0.3">
      <c r="B41" s="55" t="s">
        <v>108</v>
      </c>
      <c r="C41" s="55" t="s">
        <v>109</v>
      </c>
      <c r="D41" s="55" t="s">
        <v>42</v>
      </c>
      <c r="E41" s="50" t="s">
        <v>110</v>
      </c>
    </row>
    <row r="42" spans="1:7" x14ac:dyDescent="0.3">
      <c r="B42" s="55" t="s">
        <v>118</v>
      </c>
      <c r="C42" s="6" t="s">
        <v>118</v>
      </c>
      <c r="D42" s="55" t="s">
        <v>43</v>
      </c>
      <c r="E42" s="50" t="s">
        <v>111</v>
      </c>
    </row>
    <row r="43" spans="1:7" x14ac:dyDescent="0.3">
      <c r="A43" s="44" t="s">
        <v>104</v>
      </c>
      <c r="B43" s="66">
        <f>B37</f>
        <v>22110</v>
      </c>
      <c r="C43" s="47">
        <f>C37</f>
        <v>20665.449999999993</v>
      </c>
      <c r="D43" s="15">
        <f>D37</f>
        <v>1444.5500000000047</v>
      </c>
    </row>
    <row r="44" spans="1:7" x14ac:dyDescent="0.3">
      <c r="A44" t="s">
        <v>20</v>
      </c>
      <c r="B44" s="66">
        <v>3500</v>
      </c>
      <c r="C44" s="47">
        <f>Monitoring!O46</f>
        <v>3991.01</v>
      </c>
      <c r="D44" s="52">
        <f t="shared" ref="D44:D57" si="2">B44-C44</f>
        <v>-491.01000000000022</v>
      </c>
      <c r="F44" s="30"/>
    </row>
    <row r="45" spans="1:7" x14ac:dyDescent="0.3">
      <c r="A45" t="s">
        <v>21</v>
      </c>
      <c r="B45" s="66">
        <v>600</v>
      </c>
      <c r="C45" s="47">
        <f>Monitoring!O47</f>
        <v>0</v>
      </c>
      <c r="D45" s="15">
        <f t="shared" si="2"/>
        <v>600</v>
      </c>
    </row>
    <row r="46" spans="1:7" x14ac:dyDescent="0.3">
      <c r="A46" t="s">
        <v>96</v>
      </c>
      <c r="B46" s="66">
        <v>5000</v>
      </c>
      <c r="C46" s="47">
        <f>Monitoring!O48</f>
        <v>1346</v>
      </c>
      <c r="D46" s="15">
        <f t="shared" si="2"/>
        <v>3654</v>
      </c>
      <c r="F46" s="30"/>
    </row>
    <row r="47" spans="1:7" x14ac:dyDescent="0.3">
      <c r="A47" t="s">
        <v>89</v>
      </c>
      <c r="B47" s="66">
        <v>1795.2</v>
      </c>
      <c r="C47" s="47">
        <f>Monitoring!O49</f>
        <v>2036.35</v>
      </c>
      <c r="D47" s="15">
        <f t="shared" si="2"/>
        <v>-241.14999999999986</v>
      </c>
    </row>
    <row r="48" spans="1:7" x14ac:dyDescent="0.3">
      <c r="A48" t="s">
        <v>101</v>
      </c>
      <c r="B48" s="66"/>
      <c r="C48" s="47">
        <f>Monitoring!O50</f>
        <v>0</v>
      </c>
      <c r="D48" s="15">
        <f t="shared" si="2"/>
        <v>0</v>
      </c>
    </row>
    <row r="49" spans="1:6" x14ac:dyDescent="0.3">
      <c r="A49" t="s">
        <v>22</v>
      </c>
      <c r="B49" s="66">
        <v>11661</v>
      </c>
      <c r="C49" s="47">
        <f>Monitoring!O51</f>
        <v>10780.800000000003</v>
      </c>
      <c r="D49" s="15">
        <f t="shared" si="2"/>
        <v>880.19999999999709</v>
      </c>
    </row>
    <row r="50" spans="1:6" x14ac:dyDescent="0.3">
      <c r="A50" t="s">
        <v>23</v>
      </c>
      <c r="B50" s="66">
        <v>1950</v>
      </c>
      <c r="C50" s="47">
        <f>Monitoring!O52</f>
        <v>1475.48</v>
      </c>
      <c r="D50" s="15">
        <f t="shared" si="2"/>
        <v>474.52</v>
      </c>
    </row>
    <row r="51" spans="1:6" x14ac:dyDescent="0.3">
      <c r="A51" t="s">
        <v>24</v>
      </c>
      <c r="B51" s="66">
        <v>250</v>
      </c>
      <c r="C51" s="47">
        <f>Monitoring!O53</f>
        <v>0</v>
      </c>
      <c r="D51" s="15">
        <f t="shared" si="2"/>
        <v>250</v>
      </c>
    </row>
    <row r="52" spans="1:6" x14ac:dyDescent="0.3">
      <c r="A52" t="s">
        <v>25</v>
      </c>
      <c r="B52" s="66">
        <v>850</v>
      </c>
      <c r="C52" s="47">
        <f>Monitoring!O54</f>
        <v>0</v>
      </c>
      <c r="D52" s="15">
        <f t="shared" si="2"/>
        <v>850</v>
      </c>
    </row>
    <row r="53" spans="1:6" x14ac:dyDescent="0.3">
      <c r="A53" t="s">
        <v>113</v>
      </c>
      <c r="B53" s="66"/>
      <c r="C53" s="47">
        <f>Monitoring!O55</f>
        <v>0</v>
      </c>
      <c r="D53" s="15"/>
    </row>
    <row r="54" spans="1:6" x14ac:dyDescent="0.3">
      <c r="A54" t="s">
        <v>26</v>
      </c>
      <c r="B54" s="66"/>
      <c r="C54" s="47">
        <f>Monitoring!O56</f>
        <v>0</v>
      </c>
      <c r="D54" s="15">
        <f t="shared" si="2"/>
        <v>0</v>
      </c>
    </row>
    <row r="55" spans="1:6" x14ac:dyDescent="0.3">
      <c r="A55" t="s">
        <v>95</v>
      </c>
      <c r="B55" s="66">
        <v>500</v>
      </c>
      <c r="C55" s="47">
        <f>Monitoring!O57</f>
        <v>0</v>
      </c>
      <c r="D55" s="15">
        <f t="shared" si="2"/>
        <v>500</v>
      </c>
    </row>
    <row r="56" spans="1:6" x14ac:dyDescent="0.3">
      <c r="A56" t="s">
        <v>114</v>
      </c>
      <c r="B56" s="66"/>
      <c r="C56" s="47">
        <f>Monitoring!O58</f>
        <v>0</v>
      </c>
      <c r="D56" s="15">
        <f t="shared" si="2"/>
        <v>0</v>
      </c>
    </row>
    <row r="57" spans="1:6" x14ac:dyDescent="0.3">
      <c r="A57" t="s">
        <v>27</v>
      </c>
      <c r="B57" s="77">
        <v>60</v>
      </c>
      <c r="C57" s="47">
        <f>Monitoring!O59</f>
        <v>35</v>
      </c>
      <c r="D57" s="15">
        <f t="shared" si="2"/>
        <v>25</v>
      </c>
    </row>
    <row r="58" spans="1:6" x14ac:dyDescent="0.3">
      <c r="A58" s="9" t="s">
        <v>28</v>
      </c>
      <c r="B58" s="39">
        <f>SUM(B43:B57)</f>
        <v>48276.2</v>
      </c>
      <c r="C58" s="13">
        <f>SUM(C43:C57)</f>
        <v>40330.089999999997</v>
      </c>
      <c r="D58" s="16">
        <f>SUM(D43:D57)</f>
        <v>7946.1100000000024</v>
      </c>
    </row>
    <row r="59" spans="1:6" x14ac:dyDescent="0.3">
      <c r="B59" s="47"/>
      <c r="C59" s="47"/>
      <c r="D59" s="15"/>
    </row>
    <row r="60" spans="1:6" x14ac:dyDescent="0.3">
      <c r="A60" s="9" t="s">
        <v>52</v>
      </c>
      <c r="B60" s="47"/>
      <c r="C60" s="47"/>
      <c r="D60" s="15"/>
      <c r="E60" s="36"/>
    </row>
    <row r="61" spans="1:6" x14ac:dyDescent="0.3">
      <c r="A61" t="s">
        <v>50</v>
      </c>
      <c r="B61" s="47">
        <f>Monitoring!B63</f>
        <v>0</v>
      </c>
      <c r="C61" s="47">
        <f>Monitoring!O63</f>
        <v>6422.66</v>
      </c>
      <c r="D61" s="15"/>
      <c r="E61" s="37"/>
      <c r="F61" s="36"/>
    </row>
    <row r="62" spans="1:6" x14ac:dyDescent="0.3">
      <c r="A62" t="s">
        <v>51</v>
      </c>
      <c r="B62" s="47">
        <f>Monitoring!B64</f>
        <v>0</v>
      </c>
      <c r="C62" s="47">
        <f>Monitoring!O64</f>
        <v>6057.7</v>
      </c>
      <c r="D62" s="15"/>
      <c r="E62" s="36"/>
    </row>
    <row r="63" spans="1:6" x14ac:dyDescent="0.3">
      <c r="A63" t="s">
        <v>53</v>
      </c>
      <c r="B63" s="21">
        <f>SUM(B61:B62)</f>
        <v>0</v>
      </c>
      <c r="C63" s="13">
        <f>C61-C62</f>
        <v>364.96000000000004</v>
      </c>
      <c r="D63" s="13">
        <f>SUM(D61:D62)</f>
        <v>0</v>
      </c>
    </row>
    <row r="64" spans="1:6" x14ac:dyDescent="0.3">
      <c r="B64" s="68"/>
      <c r="C64" s="47"/>
      <c r="D64" s="47"/>
    </row>
    <row r="65" spans="1:5" x14ac:dyDescent="0.3">
      <c r="A65" s="9" t="s">
        <v>29</v>
      </c>
      <c r="B65" s="47"/>
      <c r="C65" s="47"/>
      <c r="D65" s="15"/>
    </row>
    <row r="66" spans="1:5" x14ac:dyDescent="0.3">
      <c r="A66" t="s">
        <v>30</v>
      </c>
      <c r="B66" s="47">
        <f>Monitoring!B69</f>
        <v>0</v>
      </c>
      <c r="C66" s="47">
        <f>Monitoring!O69</f>
        <v>4223.9799999999996</v>
      </c>
      <c r="D66" s="15"/>
    </row>
    <row r="67" spans="1:5" x14ac:dyDescent="0.3">
      <c r="A67" t="s">
        <v>31</v>
      </c>
      <c r="B67" s="47">
        <f>Monitoring!B70</f>
        <v>0</v>
      </c>
      <c r="C67" s="47">
        <f>Monitoring!O70</f>
        <v>36004.520000000004</v>
      </c>
      <c r="D67" s="15"/>
    </row>
    <row r="68" spans="1:5" hidden="1" x14ac:dyDescent="0.3">
      <c r="A68" t="s">
        <v>32</v>
      </c>
      <c r="B68" s="47"/>
      <c r="C68" s="47"/>
      <c r="D68" s="15"/>
    </row>
    <row r="69" spans="1:5" hidden="1" x14ac:dyDescent="0.3">
      <c r="A69" t="s">
        <v>33</v>
      </c>
      <c r="B69" s="47"/>
      <c r="C69" s="47"/>
      <c r="D69" s="15"/>
    </row>
    <row r="70" spans="1:5" x14ac:dyDescent="0.3">
      <c r="B70" s="13">
        <f>SUM(B66:B69)</f>
        <v>0</v>
      </c>
      <c r="C70" s="13">
        <f>C66-C67</f>
        <v>-31780.540000000005</v>
      </c>
      <c r="D70" s="16">
        <f>SUM(D66:D69)</f>
        <v>0</v>
      </c>
    </row>
    <row r="71" spans="1:5" x14ac:dyDescent="0.3">
      <c r="B71" s="3"/>
      <c r="C71" s="3"/>
      <c r="D71" s="3"/>
    </row>
    <row r="72" spans="1:5" x14ac:dyDescent="0.3">
      <c r="A72" s="9" t="s">
        <v>56</v>
      </c>
      <c r="B72" s="3"/>
      <c r="C72" s="3"/>
      <c r="D72" s="69"/>
    </row>
    <row r="73" spans="1:5" x14ac:dyDescent="0.3">
      <c r="A73" t="s">
        <v>58</v>
      </c>
      <c r="B73" s="70"/>
      <c r="C73" s="70">
        <f>B85</f>
        <v>401541.88</v>
      </c>
      <c r="D73" s="3"/>
    </row>
    <row r="74" spans="1:5" x14ac:dyDescent="0.3">
      <c r="A74" t="s">
        <v>54</v>
      </c>
      <c r="B74" s="70"/>
      <c r="C74" s="71">
        <f>C12</f>
        <v>53933.39</v>
      </c>
      <c r="D74" s="3"/>
    </row>
    <row r="75" spans="1:5" x14ac:dyDescent="0.3">
      <c r="A75" t="s">
        <v>55</v>
      </c>
      <c r="B75" s="70"/>
      <c r="C75" s="71">
        <f>-C58</f>
        <v>-40330.089999999997</v>
      </c>
      <c r="D75" s="3"/>
    </row>
    <row r="76" spans="1:5" x14ac:dyDescent="0.3">
      <c r="A76" t="s">
        <v>82</v>
      </c>
      <c r="B76" s="70"/>
      <c r="C76" s="71">
        <f>-C63</f>
        <v>-364.96000000000004</v>
      </c>
      <c r="D76" s="3"/>
    </row>
    <row r="77" spans="1:5" x14ac:dyDescent="0.3">
      <c r="A77" t="s">
        <v>57</v>
      </c>
      <c r="B77" s="70"/>
      <c r="C77" s="71">
        <f>C70</f>
        <v>-31780.540000000005</v>
      </c>
      <c r="D77" s="3"/>
    </row>
    <row r="78" spans="1:5" x14ac:dyDescent="0.3">
      <c r="A78" t="s">
        <v>102</v>
      </c>
      <c r="B78" s="3"/>
      <c r="C78" s="72">
        <f>SUM(C73:C77)</f>
        <v>382999.68000000005</v>
      </c>
      <c r="D78" s="3"/>
    </row>
    <row r="79" spans="1:5" x14ac:dyDescent="0.3">
      <c r="B79" s="3"/>
      <c r="C79" s="3"/>
      <c r="D79" s="3"/>
      <c r="E79" s="30"/>
    </row>
    <row r="80" spans="1:5" x14ac:dyDescent="0.3">
      <c r="A80" s="25" t="s">
        <v>60</v>
      </c>
      <c r="B80" s="3" t="s">
        <v>119</v>
      </c>
      <c r="C80" s="75">
        <v>45747</v>
      </c>
      <c r="D80" s="3"/>
      <c r="E80" s="30"/>
    </row>
    <row r="81" spans="1:5" x14ac:dyDescent="0.3">
      <c r="A81" t="s">
        <v>59</v>
      </c>
      <c r="B81" s="83">
        <v>80570.31</v>
      </c>
      <c r="C81" s="27">
        <v>16081.69</v>
      </c>
      <c r="D81" s="3"/>
      <c r="E81" s="30"/>
    </row>
    <row r="82" spans="1:5" x14ac:dyDescent="0.3">
      <c r="A82" t="s">
        <v>83</v>
      </c>
      <c r="B82" s="68">
        <v>295614.15000000002</v>
      </c>
      <c r="C82" s="17">
        <v>259919.16</v>
      </c>
      <c r="D82" s="3"/>
    </row>
    <row r="83" spans="1:5" x14ac:dyDescent="0.3">
      <c r="A83" t="s">
        <v>122</v>
      </c>
      <c r="B83" s="68"/>
      <c r="C83" s="17">
        <v>80532.66</v>
      </c>
      <c r="D83" s="3"/>
    </row>
    <row r="84" spans="1:5" x14ac:dyDescent="0.3">
      <c r="A84" t="s">
        <v>123</v>
      </c>
      <c r="B84" s="68">
        <v>25357.42</v>
      </c>
      <c r="C84" s="17">
        <v>26466.17</v>
      </c>
      <c r="D84" s="3"/>
    </row>
    <row r="85" spans="1:5" x14ac:dyDescent="0.3">
      <c r="B85" s="73">
        <f>SUM(B81:B84)</f>
        <v>401541.88</v>
      </c>
      <c r="C85" s="26">
        <f>SUM(C81:C84)</f>
        <v>382999.68</v>
      </c>
      <c r="D85" s="3"/>
    </row>
    <row r="86" spans="1:5" x14ac:dyDescent="0.3">
      <c r="B86" s="3"/>
      <c r="C86" s="3"/>
      <c r="D86" s="3"/>
    </row>
    <row r="87" spans="1:5" x14ac:dyDescent="0.3">
      <c r="A87" s="44" t="s">
        <v>100</v>
      </c>
      <c r="B87" s="3"/>
      <c r="C87" s="69">
        <f>C78-C85</f>
        <v>0</v>
      </c>
      <c r="D87" s="3"/>
      <c r="E87" s="30"/>
    </row>
    <row r="88" spans="1:5" x14ac:dyDescent="0.3">
      <c r="B88" s="3"/>
      <c r="C88" s="3"/>
      <c r="D88" s="3"/>
    </row>
  </sheetData>
  <pageMargins left="0.70866141732283472" right="0.70866141732283472" top="0.74803149606299213" bottom="0.74803149606299213" header="0.31496062992125984" footer="0.31496062992125984"/>
  <pageSetup paperSize="9" scale="99" fitToHeight="2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G98" sqref="G98"/>
    </sheetView>
  </sheetViews>
  <sheetFormatPr defaultRowHeight="14.4" x14ac:dyDescent="0.3"/>
  <cols>
    <col min="1" max="1" width="44.6640625" customWidth="1"/>
    <col min="2" max="2" width="14.44140625" customWidth="1"/>
    <col min="3" max="3" width="12.6640625" customWidth="1"/>
    <col min="4" max="4" width="12.33203125" customWidth="1"/>
    <col min="5" max="5" width="12.88671875" customWidth="1"/>
    <col min="6" max="6" width="12.6640625" customWidth="1"/>
    <col min="7" max="7" width="13.109375" customWidth="1"/>
    <col min="8" max="8" width="12.33203125" customWidth="1"/>
    <col min="9" max="9" width="13.6640625" customWidth="1"/>
    <col min="10" max="10" width="12.88671875" customWidth="1"/>
    <col min="11" max="11" width="13.44140625" customWidth="1"/>
    <col min="12" max="12" width="13.6640625" customWidth="1"/>
    <col min="13" max="13" width="12" customWidth="1"/>
    <col min="14" max="14" width="12.33203125" customWidth="1"/>
    <col min="15" max="15" width="15.44140625" customWidth="1"/>
    <col min="16" max="16" width="15" customWidth="1"/>
    <col min="17" max="17" width="11.33203125" bestFit="1" customWidth="1"/>
    <col min="18" max="18" width="10.109375" bestFit="1" customWidth="1"/>
  </cols>
  <sheetData>
    <row r="1" spans="1:16" ht="23.4" x14ac:dyDescent="0.45">
      <c r="A1" s="46" t="s">
        <v>34</v>
      </c>
      <c r="J1" s="36"/>
    </row>
    <row r="2" spans="1:16" ht="23.4" x14ac:dyDescent="0.45">
      <c r="A2" s="46" t="s">
        <v>115</v>
      </c>
      <c r="B2" s="9"/>
    </row>
    <row r="3" spans="1:16" x14ac:dyDescent="0.3">
      <c r="B3" s="5" t="s">
        <v>108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 t="s">
        <v>41</v>
      </c>
      <c r="P3" s="55" t="s">
        <v>42</v>
      </c>
    </row>
    <row r="4" spans="1:16" x14ac:dyDescent="0.3">
      <c r="B4" s="5" t="s">
        <v>121</v>
      </c>
      <c r="C4" s="61">
        <v>45383</v>
      </c>
      <c r="D4" s="61">
        <v>45413</v>
      </c>
      <c r="E4" s="61">
        <v>45444</v>
      </c>
      <c r="F4" s="61">
        <v>45474</v>
      </c>
      <c r="G4" s="61">
        <v>45505</v>
      </c>
      <c r="H4" s="61">
        <v>45536</v>
      </c>
      <c r="I4" s="61">
        <v>45566</v>
      </c>
      <c r="J4" s="61">
        <v>45597</v>
      </c>
      <c r="K4" s="61">
        <v>45627</v>
      </c>
      <c r="L4" s="61">
        <v>45658</v>
      </c>
      <c r="M4" s="61">
        <v>45689</v>
      </c>
      <c r="N4" s="61">
        <v>45717</v>
      </c>
      <c r="O4" s="5" t="s">
        <v>116</v>
      </c>
      <c r="P4" s="55" t="s">
        <v>43</v>
      </c>
    </row>
    <row r="5" spans="1:16" x14ac:dyDescent="0.3">
      <c r="N5" s="49"/>
      <c r="P5" s="3"/>
    </row>
    <row r="6" spans="1:16" x14ac:dyDescent="0.3">
      <c r="A6" s="8" t="s">
        <v>4</v>
      </c>
      <c r="C6" s="2"/>
      <c r="N6" s="1"/>
      <c r="P6" s="14"/>
    </row>
    <row r="7" spans="1:16" x14ac:dyDescent="0.3"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  <c r="O7" s="10"/>
      <c r="P7" s="15"/>
    </row>
    <row r="8" spans="1:16" x14ac:dyDescent="0.3">
      <c r="A8" t="s">
        <v>0</v>
      </c>
      <c r="B8" s="38">
        <v>39436</v>
      </c>
      <c r="C8" s="23">
        <v>19718</v>
      </c>
      <c r="D8" s="18"/>
      <c r="E8" s="18"/>
      <c r="F8" s="18"/>
      <c r="G8" s="18"/>
      <c r="H8" s="35">
        <v>19718</v>
      </c>
      <c r="I8" s="18"/>
      <c r="J8" s="17"/>
      <c r="K8" s="17"/>
      <c r="L8" s="17"/>
      <c r="M8" s="17"/>
      <c r="N8" s="19"/>
      <c r="O8" s="10">
        <f t="shared" ref="O8:O13" si="0">SUM(C8:N8)</f>
        <v>39436</v>
      </c>
      <c r="P8" s="15">
        <f t="shared" ref="P8:P13" si="1">B8-O8</f>
        <v>0</v>
      </c>
    </row>
    <row r="9" spans="1:16" x14ac:dyDescent="0.3">
      <c r="A9" t="s">
        <v>1</v>
      </c>
      <c r="B9" s="38">
        <v>5845</v>
      </c>
      <c r="C9" s="20"/>
      <c r="D9" s="17">
        <v>1354.6</v>
      </c>
      <c r="E9" s="17"/>
      <c r="F9" s="17"/>
      <c r="G9" s="17">
        <v>5948.8</v>
      </c>
      <c r="H9" s="17"/>
      <c r="I9" s="17"/>
      <c r="J9" s="17"/>
      <c r="K9" s="17"/>
      <c r="L9" s="17"/>
      <c r="M9" s="17"/>
      <c r="N9" s="19"/>
      <c r="O9" s="10">
        <f t="shared" si="0"/>
        <v>7303.4</v>
      </c>
      <c r="P9" s="15">
        <f t="shared" si="1"/>
        <v>-1458.3999999999996</v>
      </c>
    </row>
    <row r="10" spans="1:16" x14ac:dyDescent="0.3">
      <c r="A10" t="s">
        <v>97</v>
      </c>
      <c r="B10" s="38">
        <v>1200</v>
      </c>
      <c r="C10" s="20"/>
      <c r="D10" s="17">
        <v>43.56</v>
      </c>
      <c r="E10" s="17">
        <f>1112.14+133.87+112.43</f>
        <v>1358.4400000000003</v>
      </c>
      <c r="F10" s="17">
        <v>109.06</v>
      </c>
      <c r="G10" s="17">
        <v>112.69</v>
      </c>
      <c r="H10" s="17">
        <f>284.78+1087.34+110.09</f>
        <v>1482.2099999999998</v>
      </c>
      <c r="I10" s="17">
        <v>106.08</v>
      </c>
      <c r="J10" s="17">
        <v>108.87</v>
      </c>
      <c r="K10" s="17">
        <f>1048.49+291.43+102.87</f>
        <v>1442.79</v>
      </c>
      <c r="L10" s="17">
        <v>105.56</v>
      </c>
      <c r="M10" s="17">
        <v>105.19</v>
      </c>
      <c r="N10" s="19">
        <f>936.7+280.49+92.35</f>
        <v>1309.54</v>
      </c>
      <c r="O10" s="10">
        <f t="shared" si="0"/>
        <v>6283.99</v>
      </c>
      <c r="P10" s="15">
        <f t="shared" si="1"/>
        <v>-5083.99</v>
      </c>
    </row>
    <row r="11" spans="1:16" x14ac:dyDescent="0.3">
      <c r="A11" t="s">
        <v>81</v>
      </c>
      <c r="B11" s="38"/>
      <c r="C11" s="20"/>
      <c r="D11" s="17"/>
      <c r="E11" s="17"/>
      <c r="F11" s="17"/>
      <c r="G11" s="17"/>
      <c r="H11" s="17"/>
      <c r="I11" s="45"/>
      <c r="J11" s="17"/>
      <c r="K11" s="17"/>
      <c r="L11" s="17"/>
      <c r="M11" s="17"/>
      <c r="N11" s="19"/>
      <c r="O11" s="10">
        <f t="shared" si="0"/>
        <v>0</v>
      </c>
      <c r="P11" s="15">
        <f t="shared" si="1"/>
        <v>0</v>
      </c>
    </row>
    <row r="12" spans="1:16" x14ac:dyDescent="0.3">
      <c r="A12" t="s">
        <v>99</v>
      </c>
      <c r="B12" s="38"/>
      <c r="C12" s="20"/>
      <c r="D12" s="17"/>
      <c r="E12" s="17"/>
      <c r="F12" s="17">
        <v>195</v>
      </c>
      <c r="G12" s="17"/>
      <c r="H12" s="17"/>
      <c r="I12" s="17">
        <v>195</v>
      </c>
      <c r="J12" s="17">
        <f>195+65</f>
        <v>260</v>
      </c>
      <c r="K12" s="17">
        <v>65</v>
      </c>
      <c r="L12" s="17">
        <v>65</v>
      </c>
      <c r="M12" s="17">
        <v>65</v>
      </c>
      <c r="N12" s="19">
        <v>65</v>
      </c>
      <c r="O12" s="10">
        <f t="shared" si="0"/>
        <v>910</v>
      </c>
      <c r="P12" s="15">
        <f t="shared" si="1"/>
        <v>-910</v>
      </c>
    </row>
    <row r="13" spans="1:16" x14ac:dyDescent="0.3">
      <c r="A13" t="s">
        <v>2</v>
      </c>
      <c r="B13" s="38"/>
      <c r="C13" s="20"/>
      <c r="D13" s="17"/>
      <c r="E13" s="17"/>
      <c r="F13" s="17"/>
      <c r="G13" s="17"/>
      <c r="H13" s="17"/>
      <c r="I13" s="45"/>
      <c r="J13" s="17"/>
      <c r="K13" s="17"/>
      <c r="L13" s="17"/>
      <c r="M13" s="17"/>
      <c r="N13" s="19"/>
      <c r="O13" s="10">
        <f t="shared" si="0"/>
        <v>0</v>
      </c>
      <c r="P13" s="15">
        <f t="shared" si="1"/>
        <v>0</v>
      </c>
    </row>
    <row r="14" spans="1:16" x14ac:dyDescent="0.3">
      <c r="A14" s="9" t="s">
        <v>3</v>
      </c>
      <c r="B14" s="39">
        <f t="shared" ref="B14:P14" si="2">SUM(B7:B13)</f>
        <v>46481</v>
      </c>
      <c r="C14" s="22">
        <f t="shared" si="2"/>
        <v>19718</v>
      </c>
      <c r="D14" s="41">
        <f t="shared" si="2"/>
        <v>1398.1599999999999</v>
      </c>
      <c r="E14" s="41">
        <f t="shared" si="2"/>
        <v>1358.4400000000003</v>
      </c>
      <c r="F14" s="41">
        <f t="shared" si="2"/>
        <v>304.06</v>
      </c>
      <c r="G14" s="41">
        <f t="shared" si="2"/>
        <v>6061.49</v>
      </c>
      <c r="H14" s="41">
        <f t="shared" si="2"/>
        <v>21200.21</v>
      </c>
      <c r="I14" s="41">
        <f t="shared" si="2"/>
        <v>301.08</v>
      </c>
      <c r="J14" s="41">
        <f t="shared" si="2"/>
        <v>368.87</v>
      </c>
      <c r="K14" s="41">
        <f t="shared" si="2"/>
        <v>1507.79</v>
      </c>
      <c r="L14" s="41">
        <f t="shared" si="2"/>
        <v>170.56</v>
      </c>
      <c r="M14" s="41">
        <f t="shared" si="2"/>
        <v>170.19</v>
      </c>
      <c r="N14" s="62">
        <f t="shared" si="2"/>
        <v>1374.54</v>
      </c>
      <c r="O14" s="63">
        <f t="shared" si="2"/>
        <v>53933.39</v>
      </c>
      <c r="P14" s="16">
        <f t="shared" si="2"/>
        <v>-7452.3899999999994</v>
      </c>
    </row>
    <row r="15" spans="1:16" x14ac:dyDescent="0.3">
      <c r="B15" s="10"/>
      <c r="C15" s="2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9"/>
      <c r="O15" s="10"/>
      <c r="P15" s="15"/>
    </row>
    <row r="16" spans="1:16" x14ac:dyDescent="0.3">
      <c r="A16" s="8" t="s">
        <v>5</v>
      </c>
      <c r="B16" s="10"/>
      <c r="C16" s="2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0"/>
      <c r="P16" s="15"/>
    </row>
    <row r="17" spans="1:18" x14ac:dyDescent="0.3">
      <c r="A17" t="s">
        <v>6</v>
      </c>
      <c r="B17" s="38">
        <v>12750</v>
      </c>
      <c r="C17" s="20">
        <f>969.32+331.28</f>
        <v>1300.5999999999999</v>
      </c>
      <c r="D17" s="17">
        <f>715.18+141.2+141.2+715.18</f>
        <v>1712.7599999999998</v>
      </c>
      <c r="E17" s="17">
        <f>36.62+715.18+141+105.8</f>
        <v>998.59999999999991</v>
      </c>
      <c r="F17" s="17">
        <f>18.31+18.31+141.2+715.18</f>
        <v>893</v>
      </c>
      <c r="G17" s="17">
        <f>141+35.2+715.18+35.4</f>
        <v>926.77999999999986</v>
      </c>
      <c r="H17" s="17">
        <f>18.31+18.31+715.18+141.2+35.2</f>
        <v>928.2</v>
      </c>
      <c r="I17" s="17">
        <f>715.18+141.2+35.2</f>
        <v>891.57999999999993</v>
      </c>
      <c r="J17" s="17">
        <f>18.31+715.18+141+35.4</f>
        <v>909.88999999999987</v>
      </c>
      <c r="K17" s="17">
        <f>18.31+61.6+140.51+1164.48+266.23</f>
        <v>1651.13</v>
      </c>
      <c r="L17" s="17">
        <f>749.25+146+36.71</f>
        <v>931.96</v>
      </c>
      <c r="M17" s="17">
        <f>21.51+36.71+749.25+146</f>
        <v>953.47</v>
      </c>
      <c r="N17" s="19">
        <f>21.51+21.51+36.51+749.25+146.2</f>
        <v>974.98</v>
      </c>
      <c r="O17" s="10">
        <f>SUM(C17:N17)</f>
        <v>13072.949999999995</v>
      </c>
      <c r="P17" s="15">
        <f t="shared" ref="P17:P38" si="3">B17-O17</f>
        <v>-322.94999999999527</v>
      </c>
      <c r="R17" s="31"/>
    </row>
    <row r="18" spans="1:18" x14ac:dyDescent="0.3">
      <c r="A18" t="s">
        <v>7</v>
      </c>
      <c r="B18" s="38"/>
      <c r="C18" s="20"/>
      <c r="D18" s="17"/>
      <c r="E18" s="33"/>
      <c r="F18" s="17"/>
      <c r="G18" s="17"/>
      <c r="H18" s="17"/>
      <c r="I18" s="17"/>
      <c r="J18" s="17"/>
      <c r="K18" s="17"/>
      <c r="L18" s="17"/>
      <c r="M18" s="17"/>
      <c r="N18" s="19"/>
      <c r="O18" s="10">
        <f t="shared" ref="O18:O38" si="4">SUM(C18:N18)</f>
        <v>0</v>
      </c>
      <c r="P18" s="15">
        <f t="shared" si="3"/>
        <v>0</v>
      </c>
    </row>
    <row r="19" spans="1:18" x14ac:dyDescent="0.3">
      <c r="A19" t="s">
        <v>8</v>
      </c>
      <c r="B19" s="38">
        <v>300</v>
      </c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17"/>
      <c r="N19" s="19"/>
      <c r="O19" s="10">
        <f t="shared" si="4"/>
        <v>0</v>
      </c>
      <c r="P19" s="15">
        <f t="shared" si="3"/>
        <v>300</v>
      </c>
    </row>
    <row r="20" spans="1:18" x14ac:dyDescent="0.3">
      <c r="A20" t="s">
        <v>9</v>
      </c>
      <c r="B20" s="38"/>
      <c r="C20" s="2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0">
        <f t="shared" si="4"/>
        <v>0</v>
      </c>
      <c r="P20" s="15">
        <f t="shared" si="3"/>
        <v>0</v>
      </c>
    </row>
    <row r="21" spans="1:18" x14ac:dyDescent="0.3">
      <c r="A21" t="s">
        <v>107</v>
      </c>
      <c r="B21" s="38"/>
      <c r="C21" s="20">
        <v>17.2</v>
      </c>
      <c r="D21" s="17">
        <v>17.28</v>
      </c>
      <c r="E21" s="17">
        <v>17.28</v>
      </c>
      <c r="F21" s="17">
        <v>17.28</v>
      </c>
      <c r="G21" s="17">
        <v>17.28</v>
      </c>
      <c r="H21" s="17">
        <v>17.28</v>
      </c>
      <c r="I21" s="17">
        <v>17.28</v>
      </c>
      <c r="J21" s="17">
        <v>17.28</v>
      </c>
      <c r="K21" s="17">
        <v>17.28</v>
      </c>
      <c r="L21" s="17">
        <v>17.28</v>
      </c>
      <c r="M21" s="17">
        <v>17.95</v>
      </c>
      <c r="N21" s="19">
        <v>18.29</v>
      </c>
      <c r="O21" s="10">
        <f t="shared" si="4"/>
        <v>208.96</v>
      </c>
      <c r="P21" s="15">
        <f t="shared" si="3"/>
        <v>-208.96</v>
      </c>
    </row>
    <row r="22" spans="1:18" x14ac:dyDescent="0.3">
      <c r="A22" t="s">
        <v>98</v>
      </c>
      <c r="B22" s="38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9"/>
      <c r="O22" s="10">
        <f t="shared" si="4"/>
        <v>0</v>
      </c>
      <c r="P22" s="15">
        <f t="shared" si="3"/>
        <v>0</v>
      </c>
    </row>
    <row r="23" spans="1:18" x14ac:dyDescent="0.3">
      <c r="A23" t="s">
        <v>10</v>
      </c>
      <c r="B23" s="38">
        <v>200</v>
      </c>
      <c r="C23" s="20"/>
      <c r="D23" s="17"/>
      <c r="E23" s="17"/>
      <c r="F23" s="17"/>
      <c r="G23" s="17"/>
      <c r="H23" s="17"/>
      <c r="I23" s="17"/>
      <c r="J23" s="17"/>
      <c r="K23" s="17">
        <v>86.66</v>
      </c>
      <c r="L23" s="17"/>
      <c r="M23" s="17"/>
      <c r="N23" s="19">
        <v>5.3</v>
      </c>
      <c r="O23" s="10">
        <f t="shared" si="4"/>
        <v>91.96</v>
      </c>
      <c r="P23" s="15">
        <f t="shared" si="3"/>
        <v>108.04</v>
      </c>
    </row>
    <row r="24" spans="1:18" x14ac:dyDescent="0.3">
      <c r="A24" t="s">
        <v>94</v>
      </c>
      <c r="B24" s="38">
        <v>125</v>
      </c>
      <c r="C24" s="20"/>
      <c r="D24" s="17"/>
      <c r="E24" s="17"/>
      <c r="F24" s="17"/>
      <c r="G24" s="17"/>
      <c r="H24" s="17"/>
      <c r="I24" s="17">
        <v>72</v>
      </c>
      <c r="J24" s="17"/>
      <c r="K24" s="17"/>
      <c r="L24" s="17"/>
      <c r="M24" s="17"/>
      <c r="N24" s="19"/>
      <c r="O24" s="10">
        <f t="shared" si="4"/>
        <v>72</v>
      </c>
      <c r="P24" s="15">
        <f t="shared" si="3"/>
        <v>53</v>
      </c>
    </row>
    <row r="25" spans="1:18" x14ac:dyDescent="0.3">
      <c r="A25" t="s">
        <v>11</v>
      </c>
      <c r="B25" s="38">
        <v>300</v>
      </c>
      <c r="C25" s="20"/>
      <c r="D25" s="17">
        <v>20</v>
      </c>
      <c r="E25" s="17">
        <v>25</v>
      </c>
      <c r="F25" s="17">
        <v>20</v>
      </c>
      <c r="G25" s="17">
        <v>20</v>
      </c>
      <c r="H25" s="17"/>
      <c r="I25" s="17">
        <v>45</v>
      </c>
      <c r="J25" s="17">
        <v>20</v>
      </c>
      <c r="K25" s="17">
        <v>40</v>
      </c>
      <c r="L25" s="17">
        <v>20</v>
      </c>
      <c r="M25" s="17">
        <v>20</v>
      </c>
      <c r="N25" s="19"/>
      <c r="O25" s="10">
        <f t="shared" si="4"/>
        <v>230</v>
      </c>
      <c r="P25" s="15">
        <f t="shared" si="3"/>
        <v>70</v>
      </c>
    </row>
    <row r="26" spans="1:18" x14ac:dyDescent="0.3">
      <c r="A26" t="s">
        <v>12</v>
      </c>
      <c r="B26" s="38">
        <v>450</v>
      </c>
      <c r="C26" s="20"/>
      <c r="D26" s="17"/>
      <c r="E26" s="17"/>
      <c r="F26" s="17"/>
      <c r="G26" s="17"/>
      <c r="H26" s="17"/>
      <c r="I26" s="17">
        <v>420</v>
      </c>
      <c r="J26" s="17"/>
      <c r="K26" s="17"/>
      <c r="L26" s="17"/>
      <c r="M26" s="17"/>
      <c r="N26" s="19"/>
      <c r="O26" s="10">
        <f t="shared" si="4"/>
        <v>420</v>
      </c>
      <c r="P26" s="15">
        <f t="shared" si="3"/>
        <v>30</v>
      </c>
    </row>
    <row r="27" spans="1:18" x14ac:dyDescent="0.3">
      <c r="A27" t="s">
        <v>13</v>
      </c>
      <c r="B27" s="38">
        <v>400</v>
      </c>
      <c r="C27" s="20"/>
      <c r="D27" s="17"/>
      <c r="E27" s="17"/>
      <c r="F27" s="17"/>
      <c r="G27" s="17">
        <v>395</v>
      </c>
      <c r="H27" s="17"/>
      <c r="I27" s="17"/>
      <c r="J27" s="17"/>
      <c r="K27" s="17"/>
      <c r="L27" s="17"/>
      <c r="M27" s="17"/>
      <c r="N27" s="19"/>
      <c r="O27" s="10">
        <f t="shared" si="4"/>
        <v>395</v>
      </c>
      <c r="P27" s="15">
        <f t="shared" si="3"/>
        <v>5</v>
      </c>
      <c r="R27" s="31"/>
    </row>
    <row r="28" spans="1:18" x14ac:dyDescent="0.3">
      <c r="A28" t="s">
        <v>106</v>
      </c>
      <c r="B28" s="38"/>
      <c r="C28" s="20"/>
      <c r="D28" s="17"/>
      <c r="E28" s="17"/>
      <c r="F28" s="17"/>
      <c r="G28" s="17"/>
      <c r="H28" s="17"/>
      <c r="I28" s="17"/>
      <c r="K28" s="17"/>
      <c r="L28" s="17"/>
      <c r="M28" s="17"/>
      <c r="N28" s="19"/>
      <c r="O28" s="10">
        <f t="shared" si="4"/>
        <v>0</v>
      </c>
      <c r="P28" s="15">
        <f t="shared" si="3"/>
        <v>0</v>
      </c>
    </row>
    <row r="29" spans="1:18" x14ac:dyDescent="0.3">
      <c r="A29" t="s">
        <v>14</v>
      </c>
      <c r="B29" s="38">
        <v>600</v>
      </c>
      <c r="C29" s="20"/>
      <c r="D29" s="33"/>
      <c r="E29" s="17"/>
      <c r="F29" s="17"/>
      <c r="G29" s="17"/>
      <c r="H29" s="17"/>
      <c r="I29" s="17"/>
      <c r="J29" s="17"/>
      <c r="K29" s="17"/>
      <c r="L29" s="17"/>
      <c r="M29" s="17"/>
      <c r="N29" s="19"/>
      <c r="O29" s="10">
        <f t="shared" si="4"/>
        <v>0</v>
      </c>
      <c r="P29" s="15">
        <f t="shared" si="3"/>
        <v>600</v>
      </c>
    </row>
    <row r="30" spans="1:18" x14ac:dyDescent="0.3">
      <c r="A30" t="s">
        <v>15</v>
      </c>
      <c r="B30" s="38">
        <v>1425</v>
      </c>
      <c r="C30" s="20"/>
      <c r="D30" s="17"/>
      <c r="E30" s="17"/>
      <c r="F30" s="17">
        <v>1632.29</v>
      </c>
      <c r="G30" s="17"/>
      <c r="H30" s="17"/>
      <c r="I30" s="17"/>
      <c r="J30" s="17"/>
      <c r="K30" s="17"/>
      <c r="L30" s="17"/>
      <c r="M30" s="17"/>
      <c r="N30" s="19"/>
      <c r="O30" s="10">
        <f t="shared" si="4"/>
        <v>1632.29</v>
      </c>
      <c r="P30" s="15">
        <f t="shared" si="3"/>
        <v>-207.28999999999996</v>
      </c>
    </row>
    <row r="31" spans="1:18" x14ac:dyDescent="0.3">
      <c r="A31" t="s">
        <v>61</v>
      </c>
      <c r="B31" s="38">
        <v>100</v>
      </c>
      <c r="C31" s="20"/>
      <c r="D31" s="17">
        <v>48</v>
      </c>
      <c r="E31" s="17"/>
      <c r="F31" s="17"/>
      <c r="G31" s="17"/>
      <c r="H31" s="17"/>
      <c r="I31" s="17">
        <v>50</v>
      </c>
      <c r="J31" s="17"/>
      <c r="K31" s="17"/>
      <c r="L31" s="17"/>
      <c r="M31" s="17"/>
      <c r="N31" s="19"/>
      <c r="O31" s="10">
        <f t="shared" si="4"/>
        <v>98</v>
      </c>
      <c r="P31" s="15">
        <f t="shared" si="3"/>
        <v>2</v>
      </c>
    </row>
    <row r="32" spans="1:18" x14ac:dyDescent="0.3">
      <c r="A32" t="s">
        <v>62</v>
      </c>
      <c r="B32" s="38"/>
      <c r="C32" s="2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9"/>
      <c r="O32" s="10">
        <f t="shared" si="4"/>
        <v>0</v>
      </c>
      <c r="P32" s="15">
        <f t="shared" si="3"/>
        <v>0</v>
      </c>
    </row>
    <row r="33" spans="1:18" x14ac:dyDescent="0.3">
      <c r="A33" t="s">
        <v>16</v>
      </c>
      <c r="B33" s="38">
        <v>330</v>
      </c>
      <c r="C33" s="2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9"/>
      <c r="O33" s="10">
        <f t="shared" si="4"/>
        <v>0</v>
      </c>
      <c r="P33" s="15">
        <f t="shared" si="3"/>
        <v>330</v>
      </c>
    </row>
    <row r="34" spans="1:18" x14ac:dyDescent="0.3">
      <c r="A34" t="s">
        <v>17</v>
      </c>
      <c r="B34" s="38">
        <v>1750</v>
      </c>
      <c r="C34" s="2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9">
        <v>1040.06</v>
      </c>
      <c r="O34" s="10">
        <f t="shared" si="4"/>
        <v>1040.06</v>
      </c>
      <c r="P34" s="15">
        <f t="shared" si="3"/>
        <v>709.94</v>
      </c>
    </row>
    <row r="35" spans="1:18" x14ac:dyDescent="0.3">
      <c r="A35" t="s">
        <v>105</v>
      </c>
      <c r="B35" s="38"/>
      <c r="C35" s="2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9"/>
      <c r="O35" s="10">
        <f t="shared" si="4"/>
        <v>0</v>
      </c>
      <c r="P35" s="15">
        <f t="shared" si="3"/>
        <v>0</v>
      </c>
    </row>
    <row r="36" spans="1:18" x14ac:dyDescent="0.3">
      <c r="A36" t="s">
        <v>18</v>
      </c>
      <c r="B36" s="38">
        <v>500</v>
      </c>
      <c r="C36" s="20"/>
      <c r="D36" s="17">
        <v>190</v>
      </c>
      <c r="E36" s="17"/>
      <c r="F36" s="17"/>
      <c r="G36" s="17"/>
      <c r="H36" s="17"/>
      <c r="I36" s="17"/>
      <c r="J36" s="17"/>
      <c r="K36" s="17">
        <v>800</v>
      </c>
      <c r="L36" s="17"/>
      <c r="M36" s="17"/>
      <c r="N36" s="19"/>
      <c r="O36" s="10">
        <f t="shared" si="4"/>
        <v>990</v>
      </c>
      <c r="P36" s="15">
        <f t="shared" si="3"/>
        <v>-490</v>
      </c>
    </row>
    <row r="37" spans="1:18" x14ac:dyDescent="0.3">
      <c r="A37" t="s">
        <v>19</v>
      </c>
      <c r="B37" s="38">
        <v>780</v>
      </c>
      <c r="C37" s="20"/>
      <c r="D37" s="17">
        <v>714.23</v>
      </c>
      <c r="E37" s="17"/>
      <c r="F37" s="17"/>
      <c r="G37" s="17"/>
      <c r="H37" s="17"/>
      <c r="I37" s="17"/>
      <c r="J37" s="17"/>
      <c r="K37" s="17"/>
      <c r="L37" s="17"/>
      <c r="M37" s="17"/>
      <c r="N37" s="19"/>
      <c r="O37" s="10">
        <f t="shared" si="4"/>
        <v>714.23</v>
      </c>
      <c r="P37" s="15">
        <f t="shared" si="3"/>
        <v>65.769999999999982</v>
      </c>
    </row>
    <row r="38" spans="1:18" x14ac:dyDescent="0.3">
      <c r="A38" t="s">
        <v>124</v>
      </c>
      <c r="B38" s="38">
        <v>2100</v>
      </c>
      <c r="C38" s="20"/>
      <c r="D38" s="17"/>
      <c r="E38" s="17"/>
      <c r="F38" s="17"/>
      <c r="G38" s="17"/>
      <c r="H38" s="17"/>
      <c r="I38" s="17">
        <f>700+500</f>
        <v>1200</v>
      </c>
      <c r="J38" s="17"/>
      <c r="K38" s="17">
        <v>50</v>
      </c>
      <c r="L38" s="17"/>
      <c r="M38" s="17">
        <f>300+150</f>
        <v>450</v>
      </c>
      <c r="N38" s="19"/>
      <c r="O38" s="10">
        <f t="shared" si="4"/>
        <v>1700</v>
      </c>
      <c r="P38" s="15">
        <f t="shared" si="3"/>
        <v>400</v>
      </c>
    </row>
    <row r="39" spans="1:18" x14ac:dyDescent="0.3">
      <c r="A39" s="44" t="s">
        <v>103</v>
      </c>
      <c r="B39" s="79">
        <f>SUM(B17:B38)</f>
        <v>22110</v>
      </c>
      <c r="C39" s="22">
        <f>SUM(C17:C38)</f>
        <v>1317.8</v>
      </c>
      <c r="D39" s="41">
        <f t="shared" ref="D39:P39" si="5">SUM(D17:D38)</f>
        <v>2702.2699999999995</v>
      </c>
      <c r="E39" s="41">
        <f t="shared" si="5"/>
        <v>1040.8799999999999</v>
      </c>
      <c r="F39" s="41">
        <f t="shared" si="5"/>
        <v>2562.5699999999997</v>
      </c>
      <c r="G39" s="41">
        <f t="shared" si="5"/>
        <v>1359.06</v>
      </c>
      <c r="H39" s="41">
        <f t="shared" si="5"/>
        <v>945.48</v>
      </c>
      <c r="I39" s="41">
        <f>SUM(I17:I38)</f>
        <v>2695.8599999999997</v>
      </c>
      <c r="J39" s="41">
        <f t="shared" si="5"/>
        <v>947.16999999999985</v>
      </c>
      <c r="K39" s="41">
        <f t="shared" si="5"/>
        <v>2645.07</v>
      </c>
      <c r="L39" s="41">
        <f t="shared" si="5"/>
        <v>969.24</v>
      </c>
      <c r="M39" s="41">
        <f>SUM(M17:M38)</f>
        <v>1441.42</v>
      </c>
      <c r="N39" s="62">
        <f>SUM(N17:N38)</f>
        <v>2038.6299999999999</v>
      </c>
      <c r="O39" s="41">
        <f>SUM(O17:O38)</f>
        <v>20665.449999999993</v>
      </c>
      <c r="P39" s="16">
        <f t="shared" si="5"/>
        <v>1444.5500000000047</v>
      </c>
    </row>
    <row r="40" spans="1:18" x14ac:dyDescent="0.3">
      <c r="B40" s="38"/>
      <c r="C40" s="2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9"/>
      <c r="O40" s="10"/>
      <c r="P40" s="15"/>
    </row>
    <row r="41" spans="1:18" ht="21" x14ac:dyDescent="0.4">
      <c r="A41" s="7" t="str">
        <f>A1</f>
        <v>CLAYDON &amp; WHITTON PARISH COUNCIL</v>
      </c>
      <c r="B41" s="38"/>
      <c r="C41" s="2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9"/>
      <c r="O41" s="10"/>
      <c r="P41" s="15"/>
    </row>
    <row r="42" spans="1:18" ht="15.75" customHeight="1" x14ac:dyDescent="0.4">
      <c r="A42" s="7" t="str">
        <f>A2</f>
        <v>FINANCIAL MONITORING REPORT 2024/25</v>
      </c>
      <c r="C42" s="2"/>
      <c r="N42" s="1"/>
      <c r="O42" s="5" t="s">
        <v>41</v>
      </c>
      <c r="P42" s="55" t="s">
        <v>42</v>
      </c>
    </row>
    <row r="43" spans="1:18" ht="21" x14ac:dyDescent="0.4">
      <c r="A43" s="7"/>
      <c r="B43" t="s">
        <v>120</v>
      </c>
      <c r="C43" s="4" t="s">
        <v>35</v>
      </c>
      <c r="D43" s="5" t="s">
        <v>36</v>
      </c>
      <c r="E43" s="5" t="s">
        <v>37</v>
      </c>
      <c r="F43" s="5" t="s">
        <v>38</v>
      </c>
      <c r="G43" s="5" t="s">
        <v>39</v>
      </c>
      <c r="H43" s="5" t="s">
        <v>44</v>
      </c>
      <c r="I43" s="5" t="s">
        <v>45</v>
      </c>
      <c r="J43" s="5" t="s">
        <v>46</v>
      </c>
      <c r="K43" s="5" t="s">
        <v>47</v>
      </c>
      <c r="L43" s="5" t="s">
        <v>48</v>
      </c>
      <c r="M43" s="5" t="s">
        <v>49</v>
      </c>
      <c r="N43" s="6" t="s">
        <v>40</v>
      </c>
      <c r="O43" s="5" t="s">
        <v>112</v>
      </c>
      <c r="P43" s="55" t="s">
        <v>43</v>
      </c>
    </row>
    <row r="44" spans="1:18" ht="21" x14ac:dyDescent="0.4">
      <c r="A44" s="7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9"/>
      <c r="P44" s="3"/>
      <c r="R44" s="30"/>
    </row>
    <row r="45" spans="1:18" x14ac:dyDescent="0.3">
      <c r="A45" s="44" t="s">
        <v>104</v>
      </c>
      <c r="B45" s="57">
        <f>B39</f>
        <v>22110</v>
      </c>
      <c r="C45" s="58">
        <f>C39</f>
        <v>1317.8</v>
      </c>
      <c r="D45" s="40">
        <f t="shared" ref="D45:P45" si="6">D39</f>
        <v>2702.2699999999995</v>
      </c>
      <c r="E45" s="40">
        <f t="shared" si="6"/>
        <v>1040.8799999999999</v>
      </c>
      <c r="F45" s="40">
        <f t="shared" si="6"/>
        <v>2562.5699999999997</v>
      </c>
      <c r="G45" s="40">
        <f t="shared" si="6"/>
        <v>1359.06</v>
      </c>
      <c r="H45" s="40">
        <f t="shared" si="6"/>
        <v>945.48</v>
      </c>
      <c r="I45" s="40">
        <f t="shared" si="6"/>
        <v>2695.8599999999997</v>
      </c>
      <c r="J45" s="40">
        <f t="shared" si="6"/>
        <v>947.16999999999985</v>
      </c>
      <c r="K45" s="40">
        <f t="shared" si="6"/>
        <v>2645.07</v>
      </c>
      <c r="L45" s="40">
        <f t="shared" si="6"/>
        <v>969.24</v>
      </c>
      <c r="M45" s="40">
        <f t="shared" si="6"/>
        <v>1441.42</v>
      </c>
      <c r="N45" s="65">
        <f t="shared" si="6"/>
        <v>2038.6299999999999</v>
      </c>
      <c r="O45" s="65">
        <f t="shared" si="6"/>
        <v>20665.449999999993</v>
      </c>
      <c r="P45" s="59">
        <f t="shared" si="6"/>
        <v>1444.5500000000047</v>
      </c>
    </row>
    <row r="46" spans="1:18" x14ac:dyDescent="0.3">
      <c r="A46" t="s">
        <v>20</v>
      </c>
      <c r="B46" s="38">
        <v>3500</v>
      </c>
      <c r="C46" s="20">
        <v>840.17</v>
      </c>
      <c r="D46" s="17">
        <f>491.01+491.01</f>
        <v>982.02</v>
      </c>
      <c r="E46" s="17"/>
      <c r="F46" s="17"/>
      <c r="G46" s="42"/>
      <c r="H46" s="17">
        <f>53.15+175</f>
        <v>228.15</v>
      </c>
      <c r="I46" s="17">
        <v>158</v>
      </c>
      <c r="J46" s="17"/>
      <c r="K46" s="17"/>
      <c r="L46" s="17"/>
      <c r="M46" s="17">
        <f>491.01+491.01</f>
        <v>982.02</v>
      </c>
      <c r="N46" s="19">
        <f>309.64+491.01</f>
        <v>800.65</v>
      </c>
      <c r="O46" s="78">
        <f t="shared" ref="O46:O59" si="7">SUM(C46:N46)</f>
        <v>3991.01</v>
      </c>
      <c r="P46" s="60">
        <f t="shared" ref="P46:P54" si="8">B46-O46</f>
        <v>-491.01000000000022</v>
      </c>
      <c r="R46" s="30"/>
    </row>
    <row r="47" spans="1:18" x14ac:dyDescent="0.3">
      <c r="A47" t="s">
        <v>21</v>
      </c>
      <c r="B47" s="38">
        <v>600</v>
      </c>
      <c r="C47" s="2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9"/>
      <c r="O47" s="10">
        <f t="shared" si="7"/>
        <v>0</v>
      </c>
      <c r="P47" s="15">
        <f t="shared" si="8"/>
        <v>600</v>
      </c>
    </row>
    <row r="48" spans="1:18" x14ac:dyDescent="0.3">
      <c r="A48" t="s">
        <v>96</v>
      </c>
      <c r="B48" s="38">
        <v>5000</v>
      </c>
      <c r="C48" s="20"/>
      <c r="D48" s="42">
        <f>25+56+815+450</f>
        <v>1346</v>
      </c>
      <c r="E48" s="17"/>
      <c r="F48" s="17"/>
      <c r="G48" s="17"/>
      <c r="H48" s="17"/>
      <c r="I48" s="17"/>
      <c r="J48" s="17"/>
      <c r="K48" s="17"/>
      <c r="L48" s="17"/>
      <c r="M48" s="17"/>
      <c r="N48" s="19"/>
      <c r="O48" s="10">
        <f t="shared" si="7"/>
        <v>1346</v>
      </c>
      <c r="P48" s="15">
        <f t="shared" si="8"/>
        <v>3654</v>
      </c>
    </row>
    <row r="49" spans="1:18" x14ac:dyDescent="0.3">
      <c r="A49" t="s">
        <v>89</v>
      </c>
      <c r="B49" s="38">
        <v>1795.2</v>
      </c>
      <c r="C49" s="20">
        <f>400+250+250+300</f>
        <v>1200</v>
      </c>
      <c r="D49" s="17">
        <v>300</v>
      </c>
      <c r="E49" s="17">
        <v>400</v>
      </c>
      <c r="F49" s="17"/>
      <c r="G49" s="17">
        <v>48.6</v>
      </c>
      <c r="H49" s="17"/>
      <c r="I49" s="17"/>
      <c r="J49" s="17"/>
      <c r="K49" s="17"/>
      <c r="L49" s="17"/>
      <c r="M49" s="17">
        <v>87.75</v>
      </c>
      <c r="N49" s="19"/>
      <c r="O49" s="10">
        <f t="shared" si="7"/>
        <v>2036.35</v>
      </c>
      <c r="P49" s="15">
        <f t="shared" si="8"/>
        <v>-241.14999999999986</v>
      </c>
    </row>
    <row r="50" spans="1:18" x14ac:dyDescent="0.3">
      <c r="A50" t="s">
        <v>101</v>
      </c>
      <c r="B50" s="38"/>
      <c r="C50" s="2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9"/>
      <c r="O50" s="10">
        <f t="shared" si="7"/>
        <v>0</v>
      </c>
      <c r="P50" s="15">
        <f t="shared" si="8"/>
        <v>0</v>
      </c>
    </row>
    <row r="51" spans="1:18" x14ac:dyDescent="0.3">
      <c r="A51" t="s">
        <v>22</v>
      </c>
      <c r="B51" s="38">
        <v>11661</v>
      </c>
      <c r="C51" s="20">
        <f>63.6+389.3+503.8</f>
        <v>956.7</v>
      </c>
      <c r="D51" s="17">
        <f>389.3+503.8</f>
        <v>893.1</v>
      </c>
      <c r="E51" s="17"/>
      <c r="F51" s="17">
        <f>389.3+503.8+389.3+503.8</f>
        <v>1786.2</v>
      </c>
      <c r="G51" s="17">
        <f t="shared" ref="G51:L51" si="9">389.3+503.8</f>
        <v>893.1</v>
      </c>
      <c r="H51" s="17">
        <f t="shared" si="9"/>
        <v>893.1</v>
      </c>
      <c r="I51" s="17">
        <f t="shared" si="9"/>
        <v>893.1</v>
      </c>
      <c r="J51" s="17">
        <f t="shared" si="9"/>
        <v>893.1</v>
      </c>
      <c r="K51" s="17">
        <f t="shared" si="9"/>
        <v>893.1</v>
      </c>
      <c r="L51" s="17">
        <f t="shared" si="9"/>
        <v>893.1</v>
      </c>
      <c r="M51" s="17">
        <f>389.3+503.8</f>
        <v>893.1</v>
      </c>
      <c r="N51" s="19">
        <f>389.3+503.8</f>
        <v>893.1</v>
      </c>
      <c r="O51" s="10">
        <f t="shared" si="7"/>
        <v>10780.800000000003</v>
      </c>
      <c r="P51" s="15">
        <f t="shared" si="8"/>
        <v>880.19999999999709</v>
      </c>
    </row>
    <row r="52" spans="1:18" x14ac:dyDescent="0.3">
      <c r="A52" t="s">
        <v>23</v>
      </c>
      <c r="B52" s="38">
        <v>1950</v>
      </c>
      <c r="C52" s="20"/>
      <c r="D52" s="17"/>
      <c r="E52" s="17"/>
      <c r="F52" s="17"/>
      <c r="G52" s="17"/>
      <c r="H52" s="17"/>
      <c r="I52" s="17">
        <v>1475.48</v>
      </c>
      <c r="J52" s="17"/>
      <c r="K52" s="17"/>
      <c r="L52" s="17"/>
      <c r="M52" s="17"/>
      <c r="N52" s="19"/>
      <c r="O52" s="10">
        <f t="shared" si="7"/>
        <v>1475.48</v>
      </c>
      <c r="P52" s="15">
        <f t="shared" si="8"/>
        <v>474.52</v>
      </c>
    </row>
    <row r="53" spans="1:18" x14ac:dyDescent="0.3">
      <c r="A53" t="s">
        <v>24</v>
      </c>
      <c r="B53" s="38">
        <v>250</v>
      </c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9"/>
      <c r="O53" s="10">
        <f t="shared" si="7"/>
        <v>0</v>
      </c>
      <c r="P53" s="15">
        <f t="shared" si="8"/>
        <v>250</v>
      </c>
    </row>
    <row r="54" spans="1:18" x14ac:dyDescent="0.3">
      <c r="A54" t="s">
        <v>25</v>
      </c>
      <c r="B54" s="38">
        <v>850</v>
      </c>
      <c r="C54" s="2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9"/>
      <c r="O54" s="10">
        <f t="shared" si="7"/>
        <v>0</v>
      </c>
      <c r="P54" s="15">
        <f t="shared" si="8"/>
        <v>850</v>
      </c>
    </row>
    <row r="55" spans="1:18" x14ac:dyDescent="0.3">
      <c r="A55" t="s">
        <v>113</v>
      </c>
      <c r="B55" s="38"/>
      <c r="C55" s="2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9"/>
      <c r="O55" s="10">
        <f t="shared" si="7"/>
        <v>0</v>
      </c>
      <c r="P55" s="15"/>
    </row>
    <row r="56" spans="1:18" x14ac:dyDescent="0.3">
      <c r="A56" t="s">
        <v>26</v>
      </c>
      <c r="B56" s="38"/>
      <c r="C56" s="2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9"/>
      <c r="O56" s="10">
        <f t="shared" si="7"/>
        <v>0</v>
      </c>
      <c r="P56" s="15">
        <f>B56-O56</f>
        <v>0</v>
      </c>
    </row>
    <row r="57" spans="1:18" x14ac:dyDescent="0.3">
      <c r="A57" t="s">
        <v>95</v>
      </c>
      <c r="B57" s="38">
        <v>500</v>
      </c>
      <c r="C57" s="20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9"/>
      <c r="O57" s="10">
        <f t="shared" si="7"/>
        <v>0</v>
      </c>
      <c r="P57" s="15">
        <f>B57-O57</f>
        <v>500</v>
      </c>
    </row>
    <row r="58" spans="1:18" x14ac:dyDescent="0.3">
      <c r="A58" t="s">
        <v>114</v>
      </c>
      <c r="B58" s="38"/>
      <c r="C58" s="20"/>
      <c r="D58" s="17"/>
      <c r="E58" s="17"/>
      <c r="F58" s="17"/>
      <c r="G58" s="17"/>
      <c r="H58" s="17"/>
      <c r="I58" s="74"/>
      <c r="J58" s="17"/>
      <c r="K58" s="17"/>
      <c r="L58" s="17"/>
      <c r="M58" s="17"/>
      <c r="N58" s="19"/>
      <c r="O58" s="10">
        <f t="shared" si="7"/>
        <v>0</v>
      </c>
      <c r="P58" s="15"/>
    </row>
    <row r="59" spans="1:18" x14ac:dyDescent="0.3">
      <c r="A59" t="s">
        <v>27</v>
      </c>
      <c r="B59" s="38">
        <v>60</v>
      </c>
      <c r="C59" s="20"/>
      <c r="D59" s="17"/>
      <c r="E59" s="17"/>
      <c r="F59" s="17"/>
      <c r="G59" s="17">
        <v>35</v>
      </c>
      <c r="H59" s="17"/>
      <c r="I59" s="17"/>
      <c r="J59" s="17"/>
      <c r="K59" s="17"/>
      <c r="L59" s="17"/>
      <c r="M59" s="17"/>
      <c r="N59" s="19"/>
      <c r="O59" s="10">
        <f t="shared" si="7"/>
        <v>35</v>
      </c>
      <c r="P59" s="15">
        <f>B59-O59</f>
        <v>25</v>
      </c>
    </row>
    <row r="60" spans="1:18" x14ac:dyDescent="0.3">
      <c r="A60" s="9" t="s">
        <v>28</v>
      </c>
      <c r="B60" s="39">
        <f>SUM(B45:B59)</f>
        <v>48276.2</v>
      </c>
      <c r="C60" s="22">
        <f>SUM(C45:C59)</f>
        <v>4314.67</v>
      </c>
      <c r="D60" s="41">
        <f t="shared" ref="D60:P60" si="10">SUM(D45:D59)</f>
        <v>6223.3899999999994</v>
      </c>
      <c r="E60" s="41">
        <f t="shared" si="10"/>
        <v>1440.8799999999999</v>
      </c>
      <c r="F60" s="41">
        <f t="shared" si="10"/>
        <v>4348.7699999999995</v>
      </c>
      <c r="G60" s="41">
        <f t="shared" si="10"/>
        <v>2335.7599999999998</v>
      </c>
      <c r="H60" s="41">
        <f t="shared" si="10"/>
        <v>2066.73</v>
      </c>
      <c r="I60" s="41">
        <f t="shared" si="10"/>
        <v>5222.4399999999996</v>
      </c>
      <c r="J60" s="41">
        <f t="shared" si="10"/>
        <v>1840.27</v>
      </c>
      <c r="K60" s="41">
        <f t="shared" si="10"/>
        <v>3538.17</v>
      </c>
      <c r="L60" s="41">
        <f t="shared" si="10"/>
        <v>1862.3400000000001</v>
      </c>
      <c r="M60" s="41">
        <f t="shared" si="10"/>
        <v>3404.29</v>
      </c>
      <c r="N60" s="62">
        <f>SUM(N45:N59)</f>
        <v>3732.3799999999997</v>
      </c>
      <c r="O60" s="63">
        <f>SUM(O45:O59)</f>
        <v>40330.089999999997</v>
      </c>
      <c r="P60" s="16">
        <f t="shared" si="10"/>
        <v>7946.1100000000024</v>
      </c>
      <c r="Q60" s="36"/>
    </row>
    <row r="61" spans="1:18" x14ac:dyDescent="0.3">
      <c r="B61" s="10"/>
      <c r="C61" s="2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9"/>
      <c r="O61" s="10"/>
      <c r="P61" s="15"/>
      <c r="Q61" s="37"/>
      <c r="R61" s="36"/>
    </row>
    <row r="62" spans="1:18" x14ac:dyDescent="0.3">
      <c r="A62" s="9" t="s">
        <v>52</v>
      </c>
      <c r="B62" s="10"/>
      <c r="C62" s="2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9"/>
      <c r="O62" s="10"/>
      <c r="P62" s="15"/>
      <c r="Q62" s="36"/>
    </row>
    <row r="63" spans="1:18" x14ac:dyDescent="0.3">
      <c r="A63" t="s">
        <v>50</v>
      </c>
      <c r="B63" s="10"/>
      <c r="C63" s="20">
        <v>3.44</v>
      </c>
      <c r="D63" s="17">
        <v>242.86</v>
      </c>
      <c r="E63" s="17">
        <f>480+3.46</f>
        <v>483.46</v>
      </c>
      <c r="F63" s="17">
        <v>3.46</v>
      </c>
      <c r="G63" s="17">
        <f>3.46+79+468</f>
        <v>550.46</v>
      </c>
      <c r="H63" s="17">
        <f>10.63+35+3.46</f>
        <v>49.09</v>
      </c>
      <c r="I63" s="17">
        <v>2012.92</v>
      </c>
      <c r="J63" s="17">
        <v>571.46</v>
      </c>
      <c r="K63" s="17">
        <f>604+17.33+3.46</f>
        <v>624.79000000000008</v>
      </c>
      <c r="L63" s="17">
        <f>983.4+3.46</f>
        <v>986.86</v>
      </c>
      <c r="M63" s="17">
        <f>3.59+98.2+98.2</f>
        <v>199.99</v>
      </c>
      <c r="N63" s="19">
        <v>693.87</v>
      </c>
      <c r="O63" s="17">
        <f>SUM(C63:N63)</f>
        <v>6422.66</v>
      </c>
      <c r="P63" s="15"/>
    </row>
    <row r="64" spans="1:18" x14ac:dyDescent="0.3">
      <c r="A64" t="s">
        <v>51</v>
      </c>
      <c r="B64" s="10"/>
      <c r="C64" s="2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9">
        <v>6057.7</v>
      </c>
      <c r="O64" s="17">
        <f>SUM(C64:N64)</f>
        <v>6057.7</v>
      </c>
      <c r="P64" s="15"/>
    </row>
    <row r="65" spans="1:17" x14ac:dyDescent="0.3">
      <c r="A65" t="s">
        <v>53</v>
      </c>
      <c r="B65" s="22">
        <f>SUM(B63:B64)</f>
        <v>0</v>
      </c>
      <c r="C65" s="22">
        <f>C64-C63</f>
        <v>-3.44</v>
      </c>
      <c r="D65" s="41">
        <f t="shared" ref="D65:M65" si="11">D64-D63</f>
        <v>-242.86</v>
      </c>
      <c r="E65" s="41">
        <f t="shared" si="11"/>
        <v>-483.46</v>
      </c>
      <c r="F65" s="41">
        <f t="shared" si="11"/>
        <v>-3.46</v>
      </c>
      <c r="G65" s="41">
        <f t="shared" si="11"/>
        <v>-550.46</v>
      </c>
      <c r="H65" s="41">
        <f t="shared" si="11"/>
        <v>-49.09</v>
      </c>
      <c r="I65" s="41">
        <f t="shared" si="11"/>
        <v>-2012.92</v>
      </c>
      <c r="J65" s="41">
        <f t="shared" si="11"/>
        <v>-571.46</v>
      </c>
      <c r="K65" s="41">
        <f t="shared" si="11"/>
        <v>-624.79000000000008</v>
      </c>
      <c r="L65" s="41">
        <f t="shared" si="11"/>
        <v>-986.86</v>
      </c>
      <c r="M65" s="41">
        <f t="shared" si="11"/>
        <v>-199.99</v>
      </c>
      <c r="N65" s="41">
        <f>N64-N63</f>
        <v>5363.83</v>
      </c>
      <c r="O65" s="22">
        <f>O64-O63</f>
        <v>-364.96000000000004</v>
      </c>
      <c r="P65" s="13">
        <f>SUM(P63:P64)</f>
        <v>0</v>
      </c>
    </row>
    <row r="66" spans="1:17" x14ac:dyDescent="0.3">
      <c r="B66" s="42"/>
      <c r="C66" s="2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64"/>
      <c r="O66" s="54"/>
      <c r="P66" s="47"/>
    </row>
    <row r="67" spans="1:17" x14ac:dyDescent="0.3">
      <c r="B67" s="10"/>
      <c r="C67" s="2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9"/>
      <c r="O67" s="10"/>
      <c r="P67" s="15"/>
    </row>
    <row r="68" spans="1:17" x14ac:dyDescent="0.3">
      <c r="A68" s="9" t="s">
        <v>29</v>
      </c>
      <c r="B68" s="10"/>
      <c r="C68" s="2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9"/>
      <c r="O68" s="10"/>
      <c r="P68" s="15"/>
    </row>
    <row r="69" spans="1:17" x14ac:dyDescent="0.3">
      <c r="A69" t="s">
        <v>30</v>
      </c>
      <c r="B69" s="10"/>
      <c r="C69" s="24">
        <v>4223.9799999999996</v>
      </c>
      <c r="D69" s="18"/>
      <c r="E69" s="18"/>
      <c r="F69" s="18"/>
      <c r="G69" s="18"/>
      <c r="H69" s="18"/>
      <c r="I69" s="35"/>
      <c r="J69" s="17"/>
      <c r="K69" s="17"/>
      <c r="L69" s="17"/>
      <c r="M69" s="17"/>
      <c r="N69" s="19"/>
      <c r="O69" s="17">
        <f>SUM(C69:N69)</f>
        <v>4223.9799999999996</v>
      </c>
      <c r="P69" s="15"/>
    </row>
    <row r="70" spans="1:17" x14ac:dyDescent="0.3">
      <c r="A70" t="s">
        <v>31</v>
      </c>
      <c r="B70" s="10"/>
      <c r="C70" s="20"/>
      <c r="D70" s="17">
        <v>800</v>
      </c>
      <c r="E70" s="17">
        <v>2400</v>
      </c>
      <c r="F70" s="17">
        <v>5540.5</v>
      </c>
      <c r="G70" s="17">
        <v>2339.9899999999998</v>
      </c>
      <c r="H70" s="17"/>
      <c r="I70" s="17">
        <v>7871.84</v>
      </c>
      <c r="J70" s="17">
        <f>2840+3622</f>
        <v>6462</v>
      </c>
      <c r="K70" s="17">
        <f>3020+733.19</f>
        <v>3753.19</v>
      </c>
      <c r="L70" s="17">
        <v>4917</v>
      </c>
      <c r="M70" s="17"/>
      <c r="N70" s="19">
        <v>1920</v>
      </c>
      <c r="O70" s="17">
        <f>SUM(C70:N70)</f>
        <v>36004.520000000004</v>
      </c>
      <c r="P70" s="15"/>
    </row>
    <row r="71" spans="1:17" x14ac:dyDescent="0.3">
      <c r="A71" t="s">
        <v>32</v>
      </c>
      <c r="B71" s="10"/>
      <c r="C71" s="2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9"/>
      <c r="O71" s="17">
        <f>SUM(C71:N71)</f>
        <v>0</v>
      </c>
      <c r="P71" s="15"/>
    </row>
    <row r="72" spans="1:17" x14ac:dyDescent="0.3">
      <c r="A72" t="s">
        <v>33</v>
      </c>
      <c r="B72" s="10"/>
      <c r="C72" s="2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9"/>
      <c r="O72" s="17">
        <f>SUM(C72:N72)</f>
        <v>0</v>
      </c>
      <c r="P72" s="15"/>
    </row>
    <row r="73" spans="1:17" x14ac:dyDescent="0.3">
      <c r="B73" s="13">
        <f>SUM(B69:B72)</f>
        <v>0</v>
      </c>
      <c r="C73" s="22">
        <f>C69-C70</f>
        <v>4223.9799999999996</v>
      </c>
      <c r="D73" s="41">
        <f>D69-D70</f>
        <v>-800</v>
      </c>
      <c r="E73" s="41">
        <f t="shared" ref="E73:L73" si="12">E69-E70</f>
        <v>-2400</v>
      </c>
      <c r="F73" s="41">
        <f t="shared" si="12"/>
        <v>-5540.5</v>
      </c>
      <c r="G73" s="41">
        <f t="shared" si="12"/>
        <v>-2339.9899999999998</v>
      </c>
      <c r="H73" s="41">
        <f t="shared" si="12"/>
        <v>0</v>
      </c>
      <c r="I73" s="41">
        <f t="shared" si="12"/>
        <v>-7871.84</v>
      </c>
      <c r="J73" s="41">
        <f t="shared" si="12"/>
        <v>-6462</v>
      </c>
      <c r="K73" s="41">
        <f t="shared" si="12"/>
        <v>-3753.19</v>
      </c>
      <c r="L73" s="41">
        <f t="shared" si="12"/>
        <v>-4917</v>
      </c>
      <c r="M73" s="41">
        <f>M69-M70</f>
        <v>0</v>
      </c>
      <c r="N73" s="62">
        <f>N69-N70</f>
        <v>-1920</v>
      </c>
      <c r="O73" s="21">
        <f>O69-O70</f>
        <v>-31780.540000000005</v>
      </c>
      <c r="P73" s="16">
        <f>SUM(P69:P72)</f>
        <v>0</v>
      </c>
    </row>
    <row r="75" spans="1:17" x14ac:dyDescent="0.3">
      <c r="A75" s="9" t="s">
        <v>56</v>
      </c>
      <c r="O75" s="75">
        <v>45382</v>
      </c>
      <c r="P75" s="30"/>
    </row>
    <row r="76" spans="1:17" x14ac:dyDescent="0.3">
      <c r="A76" t="s">
        <v>58</v>
      </c>
      <c r="B76" s="29"/>
      <c r="C76" s="28">
        <f>B88</f>
        <v>401541.88</v>
      </c>
      <c r="D76" s="29">
        <f>C81</f>
        <v>421165.75</v>
      </c>
      <c r="E76" s="29">
        <f t="shared" ref="E76:L76" si="13">D81</f>
        <v>415297.66</v>
      </c>
      <c r="F76" s="29">
        <f t="shared" si="13"/>
        <v>412331.75999999995</v>
      </c>
      <c r="G76" s="29">
        <f t="shared" si="13"/>
        <v>402743.08999999991</v>
      </c>
      <c r="H76" s="29">
        <f t="shared" si="13"/>
        <v>403578.36999999988</v>
      </c>
      <c r="I76" s="29">
        <f t="shared" si="13"/>
        <v>422662.75999999989</v>
      </c>
      <c r="J76" s="29">
        <f t="shared" si="13"/>
        <v>407856.6399999999</v>
      </c>
      <c r="K76" s="29">
        <f t="shared" si="13"/>
        <v>399351.77999999985</v>
      </c>
      <c r="L76" s="29">
        <f t="shared" si="13"/>
        <v>392943.41999999987</v>
      </c>
      <c r="M76" s="29">
        <f>L81</f>
        <v>385347.77999999985</v>
      </c>
      <c r="N76" s="29">
        <f>M81</f>
        <v>381913.68999999989</v>
      </c>
      <c r="O76" s="28">
        <v>401541.88</v>
      </c>
    </row>
    <row r="77" spans="1:17" x14ac:dyDescent="0.3">
      <c r="A77" t="s">
        <v>54</v>
      </c>
      <c r="B77" s="29"/>
      <c r="C77" s="28">
        <f t="shared" ref="C77:H77" si="14">C14</f>
        <v>19718</v>
      </c>
      <c r="D77" s="28">
        <f t="shared" si="14"/>
        <v>1398.1599999999999</v>
      </c>
      <c r="E77" s="28">
        <f t="shared" si="14"/>
        <v>1358.4400000000003</v>
      </c>
      <c r="F77" s="28">
        <f t="shared" si="14"/>
        <v>304.06</v>
      </c>
      <c r="G77" s="28">
        <f t="shared" si="14"/>
        <v>6061.49</v>
      </c>
      <c r="H77" s="28">
        <f t="shared" si="14"/>
        <v>21200.21</v>
      </c>
      <c r="I77" s="28">
        <f t="shared" ref="I77:M77" si="15">I14</f>
        <v>301.08</v>
      </c>
      <c r="J77" s="28">
        <f t="shared" si="15"/>
        <v>368.87</v>
      </c>
      <c r="K77" s="28">
        <f t="shared" si="15"/>
        <v>1507.79</v>
      </c>
      <c r="L77" s="28">
        <f t="shared" si="15"/>
        <v>170.56</v>
      </c>
      <c r="M77" s="28">
        <f t="shared" si="15"/>
        <v>170.19</v>
      </c>
      <c r="N77" s="28">
        <f>N14</f>
        <v>1374.54</v>
      </c>
      <c r="O77" s="28">
        <f>O14</f>
        <v>53933.39</v>
      </c>
    </row>
    <row r="78" spans="1:17" x14ac:dyDescent="0.3">
      <c r="A78" t="s">
        <v>55</v>
      </c>
      <c r="B78" s="29"/>
      <c r="C78" s="28">
        <f t="shared" ref="C78:H78" si="16">-C60</f>
        <v>-4314.67</v>
      </c>
      <c r="D78" s="28">
        <f t="shared" si="16"/>
        <v>-6223.3899999999994</v>
      </c>
      <c r="E78" s="28">
        <f t="shared" si="16"/>
        <v>-1440.8799999999999</v>
      </c>
      <c r="F78" s="28">
        <f t="shared" si="16"/>
        <v>-4348.7699999999995</v>
      </c>
      <c r="G78" s="28">
        <f t="shared" si="16"/>
        <v>-2335.7599999999998</v>
      </c>
      <c r="H78" s="28">
        <f t="shared" si="16"/>
        <v>-2066.73</v>
      </c>
      <c r="I78" s="28">
        <f t="shared" ref="I78:N78" si="17">-I60</f>
        <v>-5222.4399999999996</v>
      </c>
      <c r="J78" s="28">
        <f t="shared" si="17"/>
        <v>-1840.27</v>
      </c>
      <c r="K78" s="28">
        <f t="shared" si="17"/>
        <v>-3538.17</v>
      </c>
      <c r="L78" s="28">
        <f t="shared" si="17"/>
        <v>-1862.3400000000001</v>
      </c>
      <c r="M78" s="28">
        <f t="shared" si="17"/>
        <v>-3404.29</v>
      </c>
      <c r="N78" s="28">
        <f t="shared" si="17"/>
        <v>-3732.3799999999997</v>
      </c>
      <c r="O78" s="28">
        <f>-O60</f>
        <v>-40330.089999999997</v>
      </c>
    </row>
    <row r="79" spans="1:17" x14ac:dyDescent="0.3">
      <c r="A79" t="s">
        <v>82</v>
      </c>
      <c r="B79" s="29"/>
      <c r="C79" s="28">
        <f t="shared" ref="C79:H79" si="18">C65</f>
        <v>-3.44</v>
      </c>
      <c r="D79" s="28">
        <f t="shared" si="18"/>
        <v>-242.86</v>
      </c>
      <c r="E79" s="28">
        <f t="shared" si="18"/>
        <v>-483.46</v>
      </c>
      <c r="F79" s="28">
        <f t="shared" si="18"/>
        <v>-3.46</v>
      </c>
      <c r="G79" s="28">
        <f>G65</f>
        <v>-550.46</v>
      </c>
      <c r="H79" s="28">
        <f t="shared" si="18"/>
        <v>-49.09</v>
      </c>
      <c r="I79" s="28">
        <f t="shared" ref="I79:N79" si="19">I65</f>
        <v>-2012.92</v>
      </c>
      <c r="J79" s="28">
        <f t="shared" si="19"/>
        <v>-571.46</v>
      </c>
      <c r="K79" s="28">
        <f t="shared" si="19"/>
        <v>-624.79000000000008</v>
      </c>
      <c r="L79" s="28">
        <f t="shared" si="19"/>
        <v>-986.86</v>
      </c>
      <c r="M79" s="28">
        <f t="shared" si="19"/>
        <v>-199.99</v>
      </c>
      <c r="N79" s="28">
        <f t="shared" si="19"/>
        <v>5363.83</v>
      </c>
      <c r="O79" s="28">
        <f t="shared" ref="O79" si="20">O65</f>
        <v>-364.96000000000004</v>
      </c>
    </row>
    <row r="80" spans="1:17" x14ac:dyDescent="0.3">
      <c r="A80" t="s">
        <v>57</v>
      </c>
      <c r="B80" s="29"/>
      <c r="C80" s="28">
        <f t="shared" ref="C80:H80" si="21">C69-C70</f>
        <v>4223.9799999999996</v>
      </c>
      <c r="D80" s="28">
        <f t="shared" si="21"/>
        <v>-800</v>
      </c>
      <c r="E80" s="28">
        <f t="shared" si="21"/>
        <v>-2400</v>
      </c>
      <c r="F80" s="28">
        <f t="shared" si="21"/>
        <v>-5540.5</v>
      </c>
      <c r="G80" s="28">
        <f>G69-G70</f>
        <v>-2339.9899999999998</v>
      </c>
      <c r="H80" s="28">
        <f t="shared" si="21"/>
        <v>0</v>
      </c>
      <c r="I80" s="28">
        <f t="shared" ref="I80:N80" si="22">I69-I70</f>
        <v>-7871.84</v>
      </c>
      <c r="J80" s="28">
        <f t="shared" si="22"/>
        <v>-6462</v>
      </c>
      <c r="K80" s="28">
        <f t="shared" si="22"/>
        <v>-3753.19</v>
      </c>
      <c r="L80" s="28">
        <f t="shared" si="22"/>
        <v>-4917</v>
      </c>
      <c r="M80" s="28">
        <f t="shared" si="22"/>
        <v>0</v>
      </c>
      <c r="N80" s="28">
        <f t="shared" si="22"/>
        <v>-1920</v>
      </c>
      <c r="O80" s="28">
        <f t="shared" ref="O80" si="23">O69-O70</f>
        <v>-31780.540000000005</v>
      </c>
      <c r="Q80" s="30"/>
    </row>
    <row r="81" spans="1:17" x14ac:dyDescent="0.3">
      <c r="A81" t="s">
        <v>102</v>
      </c>
      <c r="C81" s="26">
        <f t="shared" ref="C81:L81" si="24">SUM(C76:C80)</f>
        <v>421165.75</v>
      </c>
      <c r="D81" s="26">
        <f t="shared" si="24"/>
        <v>415297.66</v>
      </c>
      <c r="E81" s="26">
        <f t="shared" si="24"/>
        <v>412331.75999999995</v>
      </c>
      <c r="F81" s="26">
        <f t="shared" si="24"/>
        <v>402743.08999999991</v>
      </c>
      <c r="G81" s="26">
        <f t="shared" si="24"/>
        <v>403578.36999999988</v>
      </c>
      <c r="H81" s="26">
        <f t="shared" si="24"/>
        <v>422662.75999999989</v>
      </c>
      <c r="I81" s="26">
        <f t="shared" si="24"/>
        <v>407856.6399999999</v>
      </c>
      <c r="J81" s="26">
        <f t="shared" si="24"/>
        <v>399351.77999999985</v>
      </c>
      <c r="K81" s="26">
        <f t="shared" si="24"/>
        <v>392943.41999999987</v>
      </c>
      <c r="L81" s="26">
        <f t="shared" si="24"/>
        <v>385347.77999999985</v>
      </c>
      <c r="M81" s="26">
        <f>SUM(M76:M80)</f>
        <v>381913.68999999989</v>
      </c>
      <c r="N81" s="26">
        <f>SUM(N76:N80)</f>
        <v>382999.67999999988</v>
      </c>
      <c r="O81" s="26">
        <f>SUM(O76:O80)</f>
        <v>382999.68000000005</v>
      </c>
      <c r="P81" s="30">
        <f>O81-N81</f>
        <v>0</v>
      </c>
      <c r="Q81" s="30"/>
    </row>
    <row r="82" spans="1:17" x14ac:dyDescent="0.3">
      <c r="H82" s="5"/>
      <c r="Q82" s="30"/>
    </row>
    <row r="83" spans="1:17" x14ac:dyDescent="0.3">
      <c r="A83" s="25" t="s">
        <v>60</v>
      </c>
      <c r="B83" s="76">
        <v>45382</v>
      </c>
      <c r="C83" s="75">
        <v>45412</v>
      </c>
      <c r="D83" s="75">
        <v>45443</v>
      </c>
      <c r="E83" s="75">
        <v>45473</v>
      </c>
      <c r="F83" s="75">
        <v>45504</v>
      </c>
      <c r="G83" s="75">
        <v>45535</v>
      </c>
      <c r="H83" s="75">
        <v>45565</v>
      </c>
      <c r="I83" s="75">
        <v>45596</v>
      </c>
      <c r="J83" s="75">
        <v>45626</v>
      </c>
      <c r="K83" s="75">
        <v>45657</v>
      </c>
      <c r="L83" s="75">
        <v>45688</v>
      </c>
      <c r="M83" s="75">
        <v>45716</v>
      </c>
      <c r="N83" s="75">
        <v>45747</v>
      </c>
      <c r="O83" s="75">
        <v>45747</v>
      </c>
    </row>
    <row r="84" spans="1:17" x14ac:dyDescent="0.3">
      <c r="A84" t="s">
        <v>59</v>
      </c>
      <c r="B84" s="27">
        <v>80570.31</v>
      </c>
      <c r="C84" s="27">
        <v>70612.78</v>
      </c>
      <c r="D84" s="27">
        <v>21335.58</v>
      </c>
      <c r="E84" s="27">
        <v>19891.240000000002</v>
      </c>
      <c r="F84" s="27">
        <v>10193.51</v>
      </c>
      <c r="G84" s="27">
        <v>16456.599999999999</v>
      </c>
      <c r="H84" s="27">
        <v>34058.78</v>
      </c>
      <c r="I84" s="27">
        <v>29826.41</v>
      </c>
      <c r="J84" s="27">
        <v>21212.68</v>
      </c>
      <c r="K84" s="27">
        <v>20556.72</v>
      </c>
      <c r="L84" s="27">
        <v>15875.52</v>
      </c>
      <c r="M84" s="82">
        <f>17231.73+21.51</f>
        <v>17253.239999999998</v>
      </c>
      <c r="N84" s="27">
        <v>16081.69</v>
      </c>
      <c r="O84" s="27">
        <v>16081.69</v>
      </c>
    </row>
    <row r="85" spans="1:17" x14ac:dyDescent="0.3">
      <c r="A85" t="s">
        <v>83</v>
      </c>
      <c r="B85" s="17">
        <v>295614.15000000002</v>
      </c>
      <c r="C85" s="17">
        <v>299838.13</v>
      </c>
      <c r="D85" s="17">
        <v>293203.68</v>
      </c>
      <c r="E85" s="17">
        <v>291435.82</v>
      </c>
      <c r="F85" s="17">
        <v>291435.82</v>
      </c>
      <c r="G85" s="17">
        <v>284783.18</v>
      </c>
      <c r="H85" s="17">
        <v>284783.18</v>
      </c>
      <c r="I85" s="17">
        <v>274103.34999999998</v>
      </c>
      <c r="J85" s="17">
        <v>274103.34999999998</v>
      </c>
      <c r="K85" s="17">
        <v>266908.15999999997</v>
      </c>
      <c r="L85" s="17">
        <v>263888.15999999997</v>
      </c>
      <c r="M85" s="17">
        <f>259907.86-936.7</f>
        <v>258971.15999999997</v>
      </c>
      <c r="N85" s="17">
        <v>259919.16</v>
      </c>
      <c r="O85" s="17">
        <v>259919.16</v>
      </c>
    </row>
    <row r="86" spans="1:17" x14ac:dyDescent="0.3">
      <c r="A86" t="s">
        <v>122</v>
      </c>
      <c r="B86" s="17">
        <v>25357.42</v>
      </c>
      <c r="C86" s="17">
        <v>25357.42</v>
      </c>
      <c r="D86" s="17">
        <v>75357.42</v>
      </c>
      <c r="E86" s="17">
        <v>75491.289999999994</v>
      </c>
      <c r="F86" s="17">
        <v>75491.289999999994</v>
      </c>
      <c r="G86" s="17">
        <v>76603.429999999993</v>
      </c>
      <c r="H86" s="17">
        <v>77975.55</v>
      </c>
      <c r="I86" s="17">
        <v>77975.55</v>
      </c>
      <c r="J86" s="17">
        <v>77975.55</v>
      </c>
      <c r="K86" s="17">
        <v>79315.47</v>
      </c>
      <c r="L86" s="17">
        <v>79315.47</v>
      </c>
      <c r="M86" s="17">
        <v>79315.47</v>
      </c>
      <c r="N86" s="17">
        <v>80532.66</v>
      </c>
      <c r="O86" s="17">
        <v>80532.66</v>
      </c>
    </row>
    <row r="87" spans="1:17" x14ac:dyDescent="0.3">
      <c r="A87" t="s">
        <v>123</v>
      </c>
      <c r="C87" s="17">
        <v>25357.42</v>
      </c>
      <c r="D87" s="17">
        <v>25400.98</v>
      </c>
      <c r="E87" s="17">
        <v>25513.41</v>
      </c>
      <c r="F87" s="17">
        <v>25622.47</v>
      </c>
      <c r="G87" s="17">
        <v>25735.16</v>
      </c>
      <c r="H87" s="17">
        <v>25845.25</v>
      </c>
      <c r="I87" s="17">
        <v>25951.33</v>
      </c>
      <c r="J87" s="17">
        <v>26060.2</v>
      </c>
      <c r="K87" s="17">
        <v>26163.07</v>
      </c>
      <c r="L87" s="17">
        <f>26163.07+105.56</f>
        <v>26268.63</v>
      </c>
      <c r="M87" s="17">
        <v>26373.82</v>
      </c>
      <c r="N87" s="17">
        <v>26466.17</v>
      </c>
      <c r="O87" s="17">
        <v>26466.17</v>
      </c>
    </row>
    <row r="88" spans="1:17" x14ac:dyDescent="0.3">
      <c r="B88" s="43">
        <f>SUM(B84:B86)</f>
        <v>401541.88</v>
      </c>
      <c r="C88" s="26">
        <f>SUM(C84:C87)</f>
        <v>421165.75</v>
      </c>
      <c r="D88" s="26">
        <f t="shared" ref="D88:I88" si="25">SUM(D84:D87)</f>
        <v>415297.66</v>
      </c>
      <c r="E88" s="26">
        <f t="shared" si="25"/>
        <v>412331.75999999995</v>
      </c>
      <c r="F88" s="26">
        <f t="shared" si="25"/>
        <v>402743.08999999997</v>
      </c>
      <c r="G88" s="26">
        <f t="shared" si="25"/>
        <v>403578.36999999994</v>
      </c>
      <c r="H88" s="26">
        <f t="shared" si="25"/>
        <v>422662.75999999995</v>
      </c>
      <c r="I88" s="26">
        <f t="shared" si="25"/>
        <v>407856.63999999996</v>
      </c>
      <c r="J88" s="26">
        <f t="shared" ref="J88:N88" si="26">SUM(J84:J87)</f>
        <v>399351.77999999997</v>
      </c>
      <c r="K88" s="26">
        <f t="shared" si="26"/>
        <v>392943.42</v>
      </c>
      <c r="L88" s="26">
        <f t="shared" si="26"/>
        <v>385347.78</v>
      </c>
      <c r="M88" s="26">
        <f t="shared" si="26"/>
        <v>381913.69</v>
      </c>
      <c r="N88" s="26">
        <f>SUM(N84:N87)</f>
        <v>382999.68</v>
      </c>
      <c r="O88" s="26">
        <f>SUM(O84:O87)</f>
        <v>382999.68</v>
      </c>
      <c r="Q88" s="30"/>
    </row>
    <row r="89" spans="1:17" x14ac:dyDescent="0.3">
      <c r="J89" s="30">
        <f>J81-J88</f>
        <v>0</v>
      </c>
    </row>
    <row r="90" spans="1:17" x14ac:dyDescent="0.3">
      <c r="A90" s="44" t="s">
        <v>100</v>
      </c>
      <c r="C90" s="56">
        <f>C81-C88</f>
        <v>0</v>
      </c>
      <c r="D90" s="30">
        <f t="shared" ref="D90:N90" si="27">D81-D88</f>
        <v>0</v>
      </c>
      <c r="E90" s="30">
        <f t="shared" si="27"/>
        <v>0</v>
      </c>
      <c r="F90" s="30">
        <f t="shared" si="27"/>
        <v>0</v>
      </c>
      <c r="G90" s="30">
        <f t="shared" si="27"/>
        <v>0</v>
      </c>
      <c r="H90" s="30">
        <f t="shared" si="27"/>
        <v>0</v>
      </c>
      <c r="I90" s="30">
        <f t="shared" si="27"/>
        <v>0</v>
      </c>
      <c r="K90" s="30">
        <f t="shared" si="27"/>
        <v>0</v>
      </c>
      <c r="L90" s="30">
        <f>L81-L88</f>
        <v>0</v>
      </c>
      <c r="M90" s="30">
        <f t="shared" si="27"/>
        <v>0</v>
      </c>
      <c r="N90" s="30">
        <f t="shared" si="27"/>
        <v>0</v>
      </c>
      <c r="O90" s="30">
        <f>O81-O88</f>
        <v>0</v>
      </c>
    </row>
    <row r="98" spans="12:12" x14ac:dyDescent="0.3">
      <c r="L98" s="27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53" fitToHeight="2" orientation="landscape" r:id="rId1"/>
  <rowBreaks count="1" manualBreakCount="1">
    <brk id="40" max="15" man="1"/>
  </rowBreaks>
  <ignoredErrors>
    <ignoredError sqref="O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4"/>
  <sheetViews>
    <sheetView topLeftCell="A42" workbookViewId="0">
      <selection activeCell="A51" sqref="A51"/>
    </sheetView>
  </sheetViews>
  <sheetFormatPr defaultRowHeight="14.4" x14ac:dyDescent="0.3"/>
  <cols>
    <col min="2" max="2" width="18.109375" customWidth="1"/>
    <col min="4" max="4" width="9.5546875" bestFit="1" customWidth="1"/>
  </cols>
  <sheetData>
    <row r="1" spans="1:5" ht="18" x14ac:dyDescent="0.35">
      <c r="A1" s="34" t="s">
        <v>63</v>
      </c>
    </row>
    <row r="3" spans="1:5" x14ac:dyDescent="0.3">
      <c r="A3" s="9" t="s">
        <v>64</v>
      </c>
    </row>
    <row r="4" spans="1:5" x14ac:dyDescent="0.3">
      <c r="A4" t="s">
        <v>67</v>
      </c>
      <c r="C4" s="17">
        <v>12.43</v>
      </c>
    </row>
    <row r="5" spans="1:5" x14ac:dyDescent="0.3">
      <c r="A5" t="s">
        <v>66</v>
      </c>
      <c r="C5" s="17">
        <v>318.42</v>
      </c>
    </row>
    <row r="6" spans="1:5" x14ac:dyDescent="0.3">
      <c r="A6" t="s">
        <v>65</v>
      </c>
      <c r="C6" s="17">
        <v>2.7</v>
      </c>
    </row>
    <row r="7" spans="1:5" x14ac:dyDescent="0.3">
      <c r="C7" s="32"/>
      <c r="D7" s="30">
        <f>SUM(C4:C6)</f>
        <v>333.55</v>
      </c>
      <c r="E7" t="s">
        <v>77</v>
      </c>
    </row>
    <row r="8" spans="1:5" x14ac:dyDescent="0.3">
      <c r="A8" s="9" t="s">
        <v>68</v>
      </c>
    </row>
    <row r="9" spans="1:5" x14ac:dyDescent="0.3">
      <c r="A9" t="s">
        <v>69</v>
      </c>
      <c r="C9" s="17">
        <v>82.25</v>
      </c>
    </row>
    <row r="10" spans="1:5" x14ac:dyDescent="0.3">
      <c r="A10" t="s">
        <v>70</v>
      </c>
      <c r="C10" s="17">
        <v>86.4</v>
      </c>
    </row>
    <row r="11" spans="1:5" x14ac:dyDescent="0.3">
      <c r="A11" t="s">
        <v>75</v>
      </c>
      <c r="C11" s="17">
        <v>50</v>
      </c>
    </row>
    <row r="12" spans="1:5" x14ac:dyDescent="0.3">
      <c r="A12" t="s">
        <v>75</v>
      </c>
      <c r="C12" s="17">
        <v>5</v>
      </c>
    </row>
    <row r="13" spans="1:5" x14ac:dyDescent="0.3">
      <c r="A13" t="s">
        <v>65</v>
      </c>
      <c r="C13" s="17">
        <v>2.7</v>
      </c>
    </row>
    <row r="14" spans="1:5" x14ac:dyDescent="0.3">
      <c r="C14" s="32"/>
      <c r="D14" s="30">
        <f>SUM(C9:C13)</f>
        <v>226.35</v>
      </c>
      <c r="E14" t="s">
        <v>77</v>
      </c>
    </row>
    <row r="15" spans="1:5" x14ac:dyDescent="0.3">
      <c r="A15" s="9" t="s">
        <v>71</v>
      </c>
    </row>
    <row r="16" spans="1:5" x14ac:dyDescent="0.3">
      <c r="A16" t="s">
        <v>74</v>
      </c>
      <c r="C16" s="17">
        <v>30</v>
      </c>
    </row>
    <row r="17" spans="1:5" x14ac:dyDescent="0.3">
      <c r="A17" s="31" t="s">
        <v>76</v>
      </c>
      <c r="C17" s="17">
        <v>81.849999999999994</v>
      </c>
    </row>
    <row r="18" spans="1:5" x14ac:dyDescent="0.3">
      <c r="A18" t="s">
        <v>67</v>
      </c>
      <c r="C18" s="17">
        <v>9.49</v>
      </c>
    </row>
    <row r="19" spans="1:5" x14ac:dyDescent="0.3">
      <c r="A19" t="s">
        <v>73</v>
      </c>
      <c r="C19" s="17">
        <v>189.67</v>
      </c>
    </row>
    <row r="20" spans="1:5" x14ac:dyDescent="0.3">
      <c r="A20" t="s">
        <v>65</v>
      </c>
      <c r="C20" s="17">
        <v>2.7</v>
      </c>
    </row>
    <row r="21" spans="1:5" x14ac:dyDescent="0.3">
      <c r="A21" t="s">
        <v>72</v>
      </c>
      <c r="C21" s="17">
        <v>4.04</v>
      </c>
    </row>
    <row r="22" spans="1:5" x14ac:dyDescent="0.3">
      <c r="C22" s="32"/>
      <c r="D22" s="30">
        <f>SUM(C16:C21)</f>
        <v>317.75</v>
      </c>
      <c r="E22" t="s">
        <v>77</v>
      </c>
    </row>
    <row r="23" spans="1:5" x14ac:dyDescent="0.3">
      <c r="A23" s="9" t="s">
        <v>78</v>
      </c>
    </row>
    <row r="24" spans="1:5" x14ac:dyDescent="0.3">
      <c r="A24" t="s">
        <v>69</v>
      </c>
      <c r="C24">
        <f>82.25</f>
        <v>82.25</v>
      </c>
    </row>
    <row r="25" spans="1:5" x14ac:dyDescent="0.3">
      <c r="A25" t="s">
        <v>65</v>
      </c>
      <c r="C25" s="17">
        <v>2.7</v>
      </c>
    </row>
    <row r="26" spans="1:5" x14ac:dyDescent="0.3">
      <c r="C26" s="32"/>
      <c r="D26">
        <f>SUM(C24:C25)</f>
        <v>84.95</v>
      </c>
      <c r="E26" t="s">
        <v>77</v>
      </c>
    </row>
    <row r="27" spans="1:5" x14ac:dyDescent="0.3">
      <c r="A27" s="9" t="s">
        <v>79</v>
      </c>
    </row>
    <row r="28" spans="1:5" x14ac:dyDescent="0.3">
      <c r="A28" t="s">
        <v>80</v>
      </c>
      <c r="C28" s="17">
        <v>548</v>
      </c>
    </row>
    <row r="29" spans="1:5" x14ac:dyDescent="0.3">
      <c r="A29" t="s">
        <v>65</v>
      </c>
      <c r="C29" s="17">
        <v>2.7</v>
      </c>
    </row>
    <row r="30" spans="1:5" x14ac:dyDescent="0.3">
      <c r="C30" s="32"/>
      <c r="D30" s="17">
        <f>SUM(C28:C29)</f>
        <v>550.70000000000005</v>
      </c>
      <c r="E30" t="s">
        <v>77</v>
      </c>
    </row>
    <row r="32" spans="1:5" x14ac:dyDescent="0.3">
      <c r="A32" s="9" t="s">
        <v>84</v>
      </c>
    </row>
    <row r="33" spans="1:5" x14ac:dyDescent="0.3">
      <c r="A33" t="s">
        <v>65</v>
      </c>
      <c r="C33" s="40">
        <v>2.7</v>
      </c>
    </row>
    <row r="34" spans="1:5" x14ac:dyDescent="0.3">
      <c r="D34" s="30">
        <f>SUM(C33)</f>
        <v>2.7</v>
      </c>
      <c r="E34" t="s">
        <v>77</v>
      </c>
    </row>
    <row r="36" spans="1:5" x14ac:dyDescent="0.3">
      <c r="A36" s="9" t="s">
        <v>85</v>
      </c>
    </row>
    <row r="37" spans="1:5" x14ac:dyDescent="0.3">
      <c r="A37" t="s">
        <v>69</v>
      </c>
      <c r="C37" s="17">
        <v>82.25</v>
      </c>
    </row>
    <row r="38" spans="1:5" x14ac:dyDescent="0.3">
      <c r="A38" t="s">
        <v>72</v>
      </c>
      <c r="C38" s="17">
        <v>7.61</v>
      </c>
    </row>
    <row r="39" spans="1:5" x14ac:dyDescent="0.3">
      <c r="A39" t="s">
        <v>86</v>
      </c>
      <c r="C39" s="17">
        <v>60</v>
      </c>
    </row>
    <row r="40" spans="1:5" x14ac:dyDescent="0.3">
      <c r="A40" t="s">
        <v>65</v>
      </c>
      <c r="C40" s="42">
        <v>2.7</v>
      </c>
    </row>
    <row r="41" spans="1:5" x14ac:dyDescent="0.3">
      <c r="A41" t="s">
        <v>87</v>
      </c>
      <c r="C41" s="17">
        <v>10</v>
      </c>
    </row>
    <row r="42" spans="1:5" x14ac:dyDescent="0.3">
      <c r="C42" s="32"/>
      <c r="D42">
        <f>SUM(C37:C41)</f>
        <v>162.56</v>
      </c>
      <c r="E42" t="s">
        <v>77</v>
      </c>
    </row>
    <row r="44" spans="1:5" x14ac:dyDescent="0.3">
      <c r="A44" s="9" t="s">
        <v>90</v>
      </c>
    </row>
    <row r="45" spans="1:5" x14ac:dyDescent="0.3">
      <c r="A45" t="s">
        <v>65</v>
      </c>
      <c r="C45" s="40">
        <v>2.7</v>
      </c>
    </row>
    <row r="46" spans="1:5" x14ac:dyDescent="0.3">
      <c r="D46" s="30">
        <f>SUM(C45)</f>
        <v>2.7</v>
      </c>
      <c r="E46" t="s">
        <v>77</v>
      </c>
    </row>
    <row r="48" spans="1:5" x14ac:dyDescent="0.3">
      <c r="A48" s="9" t="s">
        <v>91</v>
      </c>
    </row>
    <row r="49" spans="1:5" x14ac:dyDescent="0.3">
      <c r="A49" t="s">
        <v>92</v>
      </c>
      <c r="C49" s="42">
        <v>10</v>
      </c>
    </row>
    <row r="50" spans="1:5" x14ac:dyDescent="0.3">
      <c r="A50" t="s">
        <v>93</v>
      </c>
      <c r="C50" s="17">
        <v>24.9</v>
      </c>
    </row>
    <row r="51" spans="1:5" x14ac:dyDescent="0.3">
      <c r="A51" t="s">
        <v>65</v>
      </c>
      <c r="C51" s="17">
        <v>2.7</v>
      </c>
    </row>
    <row r="52" spans="1:5" x14ac:dyDescent="0.3">
      <c r="C52" s="32"/>
      <c r="D52" s="30">
        <f>SUM(C49:C51)</f>
        <v>37.6</v>
      </c>
    </row>
    <row r="54" spans="1:5" x14ac:dyDescent="0.3">
      <c r="D54" s="41">
        <f>SUM(D4:D53)</f>
        <v>1718.8600000000001</v>
      </c>
      <c r="E54" t="s">
        <v>88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24-25</vt:lpstr>
      <vt:lpstr>Monitoring</vt:lpstr>
      <vt:lpstr>VAT 21_23</vt:lpstr>
      <vt:lpstr>Monitoring!Print_Area</vt:lpstr>
      <vt:lpstr>'Summary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Daska Patel</cp:lastModifiedBy>
  <cp:lastPrinted>2025-03-25T23:20:53Z</cp:lastPrinted>
  <dcterms:created xsi:type="dcterms:W3CDTF">2021-02-09T12:23:55Z</dcterms:created>
  <dcterms:modified xsi:type="dcterms:W3CDTF">2025-04-09T21:44:24Z</dcterms:modified>
</cp:coreProperties>
</file>